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9\spreadsheets\"/>
    </mc:Choice>
  </mc:AlternateContent>
  <bookViews>
    <workbookView xWindow="0" yWindow="0" windowWidth="14370" windowHeight="5325"/>
  </bookViews>
  <sheets>
    <sheet name="AUTOTABLE" sheetId="10" r:id="rId1"/>
    <sheet name="Quants" sheetId="3" r:id="rId2"/>
    <sheet name="VOID" sheetId="4" r:id="rId3"/>
    <sheet name="E9" sheetId="9" r:id="rId4"/>
  </sheets>
  <externalReferences>
    <externalReference r:id="rId5"/>
    <externalReference r:id="rId6"/>
    <externalReference r:id="rId7"/>
  </externalReferences>
  <definedNames>
    <definedName name="_xlnm.Print_Area" localSheetId="3">'E9'!#REF!</definedName>
  </definedNames>
  <calcPr calcId="162913"/>
</workbook>
</file>

<file path=xl/calcChain.xml><?xml version="1.0" encoding="utf-8"?>
<calcChain xmlns="http://schemas.openxmlformats.org/spreadsheetml/2006/main">
  <c r="A6" i="10" l="1"/>
  <c r="B6" i="10"/>
  <c r="D6" i="10"/>
  <c r="E6" i="10"/>
  <c r="A8" i="10"/>
  <c r="B8" i="10"/>
  <c r="C8" i="10"/>
  <c r="D8" i="10"/>
  <c r="E8" i="10"/>
  <c r="A9" i="10"/>
  <c r="B9" i="10"/>
  <c r="D9" i="10"/>
  <c r="E9" i="10"/>
  <c r="B10" i="10"/>
  <c r="E10" i="10"/>
  <c r="B12" i="10"/>
  <c r="E12" i="10"/>
  <c r="B13" i="10"/>
  <c r="E13" i="10"/>
  <c r="A14" i="10"/>
  <c r="B14" i="10"/>
  <c r="D14" i="10"/>
  <c r="E14" i="10"/>
  <c r="A15" i="10"/>
  <c r="B15" i="10"/>
  <c r="D15" i="10"/>
  <c r="E15" i="10"/>
  <c r="A17" i="10"/>
  <c r="B17" i="10"/>
  <c r="D17" i="10"/>
  <c r="E17" i="10"/>
  <c r="A18" i="10"/>
  <c r="B18" i="10"/>
  <c r="D18" i="10"/>
  <c r="E18" i="10"/>
  <c r="A19" i="10"/>
  <c r="B19" i="10"/>
  <c r="D19" i="10"/>
  <c r="E19" i="10"/>
  <c r="A20" i="10"/>
  <c r="B20" i="10"/>
  <c r="D20" i="10"/>
  <c r="E20" i="10"/>
  <c r="A21" i="10"/>
  <c r="B21" i="10"/>
  <c r="D21" i="10"/>
  <c r="E21" i="10"/>
  <c r="A23" i="10"/>
  <c r="B23" i="10"/>
  <c r="D23" i="10"/>
  <c r="E23" i="10"/>
  <c r="A24" i="10"/>
  <c r="B24" i="10"/>
  <c r="D24" i="10"/>
  <c r="E24" i="10"/>
  <c r="A25" i="10"/>
  <c r="B25" i="10"/>
  <c r="C25" i="10"/>
  <c r="D25" i="10"/>
  <c r="E25" i="10"/>
  <c r="A26" i="10"/>
  <c r="B26" i="10"/>
  <c r="C26" i="10"/>
  <c r="D26" i="10"/>
  <c r="E26" i="10"/>
  <c r="B5" i="10"/>
  <c r="D5" i="10"/>
  <c r="E5" i="10"/>
  <c r="A5" i="10"/>
  <c r="C49" i="9" l="1"/>
  <c r="C50" i="9" s="1"/>
  <c r="C119" i="9"/>
  <c r="C120" i="9" s="1"/>
  <c r="C123" i="9" s="1"/>
  <c r="C46" i="9"/>
  <c r="C47" i="9" s="1"/>
  <c r="C127" i="9"/>
  <c r="C94" i="9"/>
  <c r="C126" i="9"/>
  <c r="C43" i="9"/>
  <c r="C143" i="9"/>
  <c r="C144" i="9" s="1"/>
  <c r="C140" i="9"/>
  <c r="C139" i="9"/>
  <c r="C32" i="9"/>
  <c r="C36" i="9" s="1"/>
  <c r="C37" i="9" s="1"/>
  <c r="C39" i="9" s="1"/>
  <c r="C31" i="9"/>
  <c r="C129" i="9" l="1"/>
  <c r="C108" i="9" s="1"/>
  <c r="D18" i="9" s="1"/>
  <c r="C18" i="10" s="1"/>
  <c r="C146" i="9"/>
  <c r="C136" i="9" s="1"/>
  <c r="A20" i="9" s="1"/>
  <c r="C63" i="9"/>
  <c r="D136" i="9"/>
  <c r="F136" i="9"/>
  <c r="A136" i="9"/>
  <c r="B136" i="9"/>
  <c r="C131" i="9"/>
  <c r="C66" i="9" s="1"/>
  <c r="F131" i="9"/>
  <c r="D131" i="9"/>
  <c r="A131" i="9"/>
  <c r="B131" i="9"/>
  <c r="C111" i="9"/>
  <c r="C112" i="9" s="1"/>
  <c r="C115" i="9" s="1"/>
  <c r="B12" i="9"/>
  <c r="A12" i="10" s="1"/>
  <c r="E12" i="9"/>
  <c r="D12" i="10" s="1"/>
  <c r="C79" i="9"/>
  <c r="C95" i="9"/>
  <c r="C162" i="9"/>
  <c r="C150" i="9"/>
  <c r="C158" i="9"/>
  <c r="C90" i="9" s="1"/>
  <c r="C91" i="9" s="1"/>
  <c r="C167" i="9"/>
  <c r="C98" i="9" s="1"/>
  <c r="C99" i="9" s="1"/>
  <c r="C185" i="9"/>
  <c r="C178" i="9"/>
  <c r="C181" i="9" s="1"/>
  <c r="C57" i="9"/>
  <c r="D20" i="9" l="1"/>
  <c r="C20" i="10" s="1"/>
  <c r="D19" i="9"/>
  <c r="C19" i="10" s="1"/>
  <c r="C77" i="9"/>
  <c r="C81" i="9" s="1"/>
  <c r="C83" i="9" s="1"/>
  <c r="C102" i="9"/>
  <c r="C85" i="9" s="1"/>
  <c r="C58" i="9" l="1"/>
  <c r="C54" i="9" s="1"/>
  <c r="C33" i="9"/>
  <c r="C52" i="9" s="1"/>
  <c r="C29" i="9" s="1"/>
  <c r="D5" i="9" l="1"/>
  <c r="C5" i="10" s="1"/>
  <c r="C61" i="9"/>
  <c r="C188" i="9"/>
  <c r="C183" i="9" s="1"/>
  <c r="D15" i="9" s="1"/>
  <c r="C15" i="10" s="1"/>
  <c r="C176" i="9"/>
  <c r="D14" i="9" s="1"/>
  <c r="C14" i="10" s="1"/>
  <c r="C170" i="9"/>
  <c r="C153" i="9"/>
  <c r="C156" i="9"/>
  <c r="D23" i="9" s="1"/>
  <c r="C23" i="10" s="1"/>
  <c r="D6" i="9" l="1"/>
  <c r="C6" i="10" s="1"/>
  <c r="A6" i="9"/>
  <c r="D13" i="9"/>
  <c r="C13" i="10" s="1"/>
  <c r="A13" i="3" l="1"/>
  <c r="B13" i="3"/>
  <c r="C13" i="3"/>
  <c r="E13" i="3"/>
  <c r="F13" i="3"/>
  <c r="C172" i="9"/>
  <c r="D9" i="9" s="1"/>
  <c r="C9" i="10" s="1"/>
  <c r="D13" i="3" l="1"/>
  <c r="A9" i="9"/>
  <c r="C165" i="9"/>
  <c r="D10" i="9" s="1"/>
  <c r="C10" i="10" s="1"/>
  <c r="A15" i="3" l="1"/>
  <c r="D15" i="3" s="1"/>
  <c r="D14" i="3"/>
  <c r="A10" i="9"/>
  <c r="B17" i="3"/>
  <c r="A6" i="3"/>
  <c r="D6" i="3" s="1"/>
  <c r="A16" i="3"/>
  <c r="D16" i="3" s="1"/>
  <c r="A18" i="3"/>
  <c r="D18" i="3" s="1"/>
  <c r="C160" i="9"/>
  <c r="D24" i="9" s="1"/>
  <c r="C24" i="10" s="1"/>
  <c r="C148" i="9"/>
  <c r="D21" i="9" s="1"/>
  <c r="C21" i="10" s="1"/>
  <c r="C104" i="9"/>
  <c r="D17" i="9" s="1"/>
  <c r="C17" i="10" s="1"/>
  <c r="C72" i="9"/>
  <c r="D12" i="9" s="1"/>
  <c r="C12" i="10" s="1"/>
  <c r="C68" i="9"/>
  <c r="E13" i="9"/>
  <c r="D13" i="10" s="1"/>
  <c r="B13" i="9"/>
  <c r="A13" i="10" s="1"/>
  <c r="F14" i="3"/>
  <c r="E10" i="9"/>
  <c r="D10" i="10" s="1"/>
  <c r="B10" i="9"/>
  <c r="A10" i="10" s="1"/>
  <c r="B27" i="3"/>
  <c r="C27" i="3"/>
  <c r="D27" i="3"/>
  <c r="E27" i="3"/>
  <c r="F27" i="3"/>
  <c r="G27" i="3"/>
  <c r="E17" i="3"/>
  <c r="B21" i="4"/>
  <c r="B20" i="4"/>
  <c r="B14" i="4"/>
  <c r="B13" i="4"/>
  <c r="C21" i="4"/>
  <c r="C20" i="4"/>
  <c r="C14" i="4"/>
  <c r="C13" i="4"/>
  <c r="D21" i="4"/>
  <c r="D14" i="4"/>
  <c r="G14" i="4" s="1"/>
  <c r="D13" i="4"/>
  <c r="D18" i="4"/>
  <c r="G18" i="4" s="1"/>
  <c r="D20" i="4"/>
  <c r="D19" i="4"/>
  <c r="G19" i="4" s="1"/>
  <c r="D17" i="4"/>
  <c r="G17" i="4" s="1"/>
  <c r="D16" i="4"/>
  <c r="G16" i="4" s="1"/>
  <c r="D15" i="4"/>
  <c r="G15" i="4" s="1"/>
  <c r="D12" i="4"/>
  <c r="D10" i="4"/>
  <c r="D9" i="4"/>
  <c r="D8" i="4"/>
  <c r="D7" i="4"/>
  <c r="D6" i="4"/>
  <c r="D5" i="4"/>
  <c r="D4" i="4"/>
  <c r="D3" i="4"/>
  <c r="D2" i="4"/>
  <c r="C12" i="4"/>
  <c r="C10" i="4"/>
  <c r="C9" i="4"/>
  <c r="C8" i="4"/>
  <c r="C7" i="4"/>
  <c r="C6" i="4"/>
  <c r="C5" i="4"/>
  <c r="C4" i="4"/>
  <c r="C3" i="4"/>
  <c r="C2" i="4"/>
  <c r="B11" i="4"/>
  <c r="G11" i="4" s="1"/>
  <c r="B10" i="4"/>
  <c r="B9" i="4"/>
  <c r="B8" i="4"/>
  <c r="B7" i="4"/>
  <c r="B6" i="4"/>
  <c r="B5" i="4"/>
  <c r="B4" i="4"/>
  <c r="B3" i="4"/>
  <c r="B2" i="4"/>
  <c r="C14" i="3" l="1"/>
  <c r="E14" i="3"/>
  <c r="A22" i="3"/>
  <c r="D22" i="3" s="1"/>
  <c r="A24" i="3"/>
  <c r="D24" i="3" s="1"/>
  <c r="A23" i="9"/>
  <c r="A23" i="3"/>
  <c r="D23" i="3" s="1"/>
  <c r="A21" i="9"/>
  <c r="A7" i="3"/>
  <c r="D7" i="3" s="1"/>
  <c r="A17" i="3"/>
  <c r="D17" i="3" s="1"/>
  <c r="A13" i="9"/>
  <c r="A26" i="3"/>
  <c r="D26" i="3" s="1"/>
  <c r="A24" i="9"/>
  <c r="A17" i="9"/>
  <c r="A20" i="3" s="1"/>
  <c r="D20" i="3" s="1"/>
  <c r="A8" i="3"/>
  <c r="D8" i="3" s="1"/>
  <c r="A9" i="3"/>
  <c r="D9" i="3" s="1"/>
  <c r="G12" i="4"/>
  <c r="G5" i="4"/>
  <c r="G8" i="4"/>
  <c r="G13" i="4"/>
  <c r="G6" i="4"/>
  <c r="G4" i="4"/>
  <c r="G10" i="4"/>
  <c r="A14" i="3"/>
  <c r="B14" i="3"/>
  <c r="G20" i="4"/>
  <c r="G9" i="4"/>
  <c r="G7" i="4"/>
  <c r="G21" i="4"/>
  <c r="G3" i="4"/>
  <c r="A11" i="3" l="1"/>
  <c r="D11" i="3" s="1"/>
  <c r="A21" i="3"/>
  <c r="D21" i="3" s="1"/>
  <c r="A18" i="9"/>
</calcChain>
</file>

<file path=xl/comments1.xml><?xml version="1.0" encoding="utf-8"?>
<comments xmlns="http://schemas.openxmlformats.org/spreadsheetml/2006/main">
  <authors>
    <author>Meet Shah</author>
  </authors>
  <commentList>
    <comment ref="F41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SEE E9BF001 FOR AREA DRAWING
</t>
        </r>
      </text>
    </comment>
    <comment ref="F61" authorId="0" shapeId="0">
      <text>
        <r>
          <rPr>
            <sz val="9"/>
            <color indexed="81"/>
            <rFont val="Tahoma"/>
            <family val="2"/>
          </rPr>
          <t>Meet Shah:paid for under Item 840 - Foundation Preparation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METHOD 2 IS MORE ACCURATE</t>
        </r>
      </text>
    </comment>
  </commentList>
</comments>
</file>

<file path=xl/sharedStrings.xml><?xml version="1.0" encoding="utf-8"?>
<sst xmlns="http://schemas.openxmlformats.org/spreadsheetml/2006/main" count="413" uniqueCount="156">
  <si>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</si>
  <si>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</si>
  <si>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</si>
  <si>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</si>
  <si>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</si>
  <si>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</si>
  <si>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</si>
  <si>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</si>
  <si>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</si>
  <si>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</si>
  <si>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</si>
  <si>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</si>
  <si>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</si>
  <si>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</si>
  <si>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</si>
  <si>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</si>
  <si>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</si>
  <si>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</si>
  <si>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</si>
  <si>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</si>
  <si>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</si>
  <si>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</si>
  <si>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</si>
  <si>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</si>
  <si>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</si>
  <si>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</si>
  <si>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</si>
  <si>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</si>
  <si>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</si>
  <si>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</si>
  <si>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</si>
  <si>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</si>
  <si>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</si>
  <si>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</si>
  <si>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</si>
  <si>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</si>
  <si>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</si>
  <si>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</si>
  <si>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</si>
  <si>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</si>
  <si>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</si>
  <si>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</si>
  <si>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</si>
  <si>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</si>
  <si>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</si>
  <si>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</si>
  <si>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</si>
  <si>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</si>
  <si>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</si>
  <si>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</si>
  <si>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</si>
  <si>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</si>
  <si>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</si>
  <si>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</si>
  <si>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</si>
  <si>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</si>
  <si>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</si>
  <si>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</si>
  <si>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</si>
  <si>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</si>
  <si>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</si>
  <si>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E7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</si>
  <si>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</si>
  <si>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</si>
  <si>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</si>
  <si>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</si>
  <si>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</si>
  <si>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</si>
  <si>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</si>
  <si>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</si>
  <si>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</si>
  <si>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6" DRAINAGE PIPE, PERFORATED</t>
  </si>
  <si>
    <t>CONCRETE COPING</t>
  </si>
  <si>
    <t>DAY</t>
  </si>
  <si>
    <t>ON-SITE ASSISTANCE</t>
  </si>
  <si>
    <t>LS</t>
  </si>
  <si>
    <t>AESTHETIC SURFACE TREATMENT</t>
  </si>
  <si>
    <t>SEALING OF CONCRETE SURFACES, (PERMANENT GRAFFITI PROTECTION), AS PER PLAN</t>
  </si>
  <si>
    <t>SEALING OF CONCRETE SURFACES (EPOXY URETHANE)</t>
  </si>
  <si>
    <t>ROADWAY MISC.: EPS GEOFOAM FILL</t>
  </si>
  <si>
    <t>PORTIONS OF STRUCTURE REMOVED</t>
  </si>
  <si>
    <t>GRANULAR MATERIAL TYPE C</t>
  </si>
  <si>
    <t>CU FT</t>
  </si>
  <si>
    <t>VOLUME</t>
  </si>
  <si>
    <t>TOTAL VOLUME OF BACKFILL</t>
  </si>
  <si>
    <t>TOP FACE-COPING</t>
  </si>
  <si>
    <t>BACK FACE-COPING</t>
  </si>
  <si>
    <t>TOTAL AREA TO SEAL</t>
  </si>
  <si>
    <t>LENGTH OF COPING</t>
  </si>
  <si>
    <t>TOTAL PERFORATED PIPE</t>
  </si>
  <si>
    <t>PER GENERAL NOTES</t>
  </si>
  <si>
    <t>ROADWAY MISC.: LIGHT WEIGHT BACKFILL</t>
  </si>
  <si>
    <t>EXTRA FOR STEPS &amp; CHANGE IN ELEV.</t>
  </si>
  <si>
    <t>CLASS QC2 CONCRETE, MISC.: LOAD DISTRIBUTION SLAB</t>
  </si>
  <si>
    <t>SQ. FT</t>
  </si>
  <si>
    <t>C/S AREA OF MOMENT SLAB</t>
  </si>
  <si>
    <t>LBS</t>
  </si>
  <si>
    <t>REBAR SCHEDULE</t>
  </si>
  <si>
    <t>CLASS QC2 CONCRETE, MISC.: PARAPET INCLUDING SLEEPER SLAB WITH QC/QA</t>
  </si>
  <si>
    <t>1/2" PREFORMED EXPANSION JOINT FILLER</t>
  </si>
  <si>
    <t>MSE WALL AREA - TOP OF COPING TO TOP OF LEVELLING PAD</t>
  </si>
  <si>
    <t>2" PREFORMED EXPANSION JOINT FILLER</t>
  </si>
  <si>
    <t>DEPTH OF JOINT</t>
  </si>
  <si>
    <t>AREA</t>
  </si>
  <si>
    <t>SGB INSPECTION AND COMPACTION TESTING</t>
  </si>
  <si>
    <t>COFFERDAMS AND EXCAVATION, AS PER PLAN</t>
  </si>
  <si>
    <t>TOTAL VOLUME</t>
  </si>
  <si>
    <t xml:space="preserve"> FOUNDATION PREP SHADED AREA</t>
  </si>
  <si>
    <t>1 FT THICK</t>
  </si>
  <si>
    <t>LENGTH OF ABUTMENT * (2 JOINTS)</t>
  </si>
  <si>
    <t>LENGTH OF WALL (SIDE OF APPROACH + MOMENT SLAB+ VERTICAL COMPONENT ELEVATION VIEW)</t>
  </si>
  <si>
    <t>LENGTH OF MOMENT SLAB</t>
  </si>
  <si>
    <t>TOTAL LENGTH IN PLAN VIEW</t>
  </si>
  <si>
    <t>AESTHETIC SURFACE TREATMENT (NOT INCLUDING COPING)</t>
  </si>
  <si>
    <t>LENGTH OF COPING IN ELEVATION VIEW+JUMP IN WALL HEIGHT</t>
  </si>
  <si>
    <t>DEPTH BELOW APPROACH</t>
  </si>
  <si>
    <t>SEE ABUTMENT SECTION MARKED SHEET FOR ELEVATIONS -CHECK SCANNED PDF IN WALL E9 SPREADSHEET FOLDER</t>
  </si>
  <si>
    <t>PANEL WALL AREA-PROPOSED GROUND TO TOP OF COPING</t>
  </si>
  <si>
    <t xml:space="preserve">AREA </t>
  </si>
  <si>
    <t>EXPOSED PERIMETER OF MOMENT SLAB BARRIER</t>
  </si>
  <si>
    <t>LENGTH OF MOMENT SLAB BARRIER</t>
  </si>
  <si>
    <t>LENGTH OF WALL IN FRONT OF ABUTMENT</t>
  </si>
  <si>
    <t>PANEL WALL AREA-SEE TO TOP OF COPING (10 FT ABOVE EX. GROUND)</t>
  </si>
  <si>
    <t>AREA OF COPING (TOP &amp; BACK)</t>
  </si>
  <si>
    <t>EXCAVATION AREA IN ELEVATION VIEW</t>
  </si>
  <si>
    <t>LENGTH OF WALL IN ELEVATION VIEW</t>
  </si>
  <si>
    <t>AVERAGE DEPTH OF EXCAVATION</t>
  </si>
  <si>
    <t>EXCAVATION AREA (PLAN VIEW SHADED AREA INCLUDING WALL FOOTING)</t>
  </si>
  <si>
    <t>AREA 1 (top of granular backfill and front of footing) (6 in. x 1 ft.)</t>
  </si>
  <si>
    <t>length of wall</t>
  </si>
  <si>
    <t>Area 2 (wall elevation view) (top of footing to top of prop. Grade)</t>
  </si>
  <si>
    <t>Area 2 (wall plan view) (front face of wall to edge of granular material C)</t>
  </si>
  <si>
    <t>Average width of embankment in front of wall</t>
  </si>
  <si>
    <t>VOLUME 1</t>
  </si>
  <si>
    <t>VOLUME 2 (AREA 2 WALL ELEVATION * AVG. WIDTH OF FILL IN FRONT OF WALL)</t>
  </si>
  <si>
    <t>DEPTH ( BOT OF WALL FOOTING TO BOT OF BRIDGE ABUTMENT FOOTING)</t>
  </si>
  <si>
    <t>AREA WALL PLAN VIEW (BELOW BRIDGE ABUTMENT) (SEE TYP SECTION )</t>
  </si>
  <si>
    <t>PLAN AREA BEHIND BRIDGE ABUTMENT</t>
  </si>
  <si>
    <t>SF</t>
  </si>
  <si>
    <t>DEPTH OF FILL (TYP SECTION) (FOOTING DEPTH - 1 FT)</t>
  </si>
  <si>
    <t>PLAN AREA BEHIND WALL ABUTMENT</t>
  </si>
  <si>
    <t>C/S AREA BEHIND BRIDGE ABUTMENT (BELOW GRANULAR MATERIAL B)</t>
  </si>
  <si>
    <t>VOLUME 3</t>
  </si>
  <si>
    <t>VOLUME (BETWEEN STA. 901+56.27 TO 902+28.67)</t>
  </si>
  <si>
    <t>EXCAVATION AREA IN ELEVATION VIEW (STA. 902+75.96 TO STA. 903+12.20)</t>
  </si>
  <si>
    <t>EXCAVATION AREA (PLAN VIEW SHADED AREA FROM STA. 902+75.96 TO STA. 903+12.20</t>
  </si>
  <si>
    <t>C/S AREA BEHIND WALL (IN FRONT OF BRIDGE ABUTMENT)</t>
  </si>
  <si>
    <t>LENGTH OF WALL IN FRONT OF BRIDGE ABUTMENT</t>
  </si>
  <si>
    <t>METHOD 1</t>
  </si>
  <si>
    <t>METHOD 2</t>
  </si>
  <si>
    <t>LENGTH OF WALL IN ELEVATION VIEW ( STA. 902+75.96 TO STA. 903+12.20)</t>
  </si>
  <si>
    <t>AVERAGE DEPTH OF FILL</t>
  </si>
  <si>
    <t>ELEVATION AREA BELOW MOMENT SLAB ( STA. 902+75.96 TO STA. 903+12.20) (BOT OF LEVELING PAD TO BOT OF COPING)</t>
  </si>
  <si>
    <t>PLAN AREA BETWEEN ( STA. 902+75.96 TO STA. 903+12.20)</t>
  </si>
  <si>
    <t>VOLUME 4</t>
  </si>
  <si>
    <t>EPOXY COATED REINFORCING STEEL, AS PER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</si>
</sst>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.0"/>
  </numFmts>
  <fonts count="18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  <font>
      <strike/>
      <sz val="11"/>
      <color rgb="FFFF0000"/>
      <name val="Calibri"/>
      <family val="2"/>
      <scheme val="minor"/>
    </font>
    <font>
      <strike/>
      <sz val="10"/>
      <color rgb="FFFF0000"/>
      <name val="Arial"/>
      <family val="2"/>
    </font>
    <font>
      <strike/>
      <sz val="10"/>
      <name val="Arial"/>
      <family val="2"/>
    </font>
    <font>
      <strike/>
      <sz val="11"/>
      <color rgb="FF3F3F7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7" fillId="2" borderId="24" applyNumberFormat="0" applyAlignment="0" applyProtection="0"/>
    <xf numFmtId="0" fontId="2" fillId="0" borderId="0"/>
    <xf numFmtId="0" fontId="2" fillId="4" borderId="28" applyNumberFormat="0" applyFont="0" applyAlignment="0" applyProtection="0"/>
    <xf numFmtId="0" fontId="13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8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9" fillId="0" borderId="0" xfId="0" applyFont="1" applyFill="1" applyAlignment="1">
      <alignment horizontal="left"/>
    </xf>
    <xf numFmtId="1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" fontId="3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left" vertical="top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9" fontId="6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3" borderId="0" xfId="2" applyNumberFormat="1" applyFont="1" applyFill="1" applyBorder="1" applyAlignment="1">
      <alignment horizontal="left" vertical="center"/>
    </xf>
    <xf numFmtId="49" fontId="2" fillId="3" borderId="0" xfId="2" applyNumberFormat="1" applyFont="1" applyFill="1" applyBorder="1" applyAlignment="1">
      <alignment horizontal="left" vertic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0" borderId="0" xfId="2" applyFont="1" applyAlignment="1">
      <alignment horizontal="left" vertical="center"/>
    </xf>
    <xf numFmtId="0" fontId="2" fillId="0" borderId="0" xfId="2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left" vertical="center"/>
    </xf>
    <xf numFmtId="0" fontId="7" fillId="0" borderId="0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left"/>
    </xf>
    <xf numFmtId="0" fontId="7" fillId="5" borderId="24" xfId="1" applyFill="1" applyAlignment="1">
      <alignment horizontal="center"/>
    </xf>
    <xf numFmtId="0" fontId="2" fillId="5" borderId="0" xfId="0" applyFon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7" fillId="5" borderId="24" xfId="1" applyNumberFormat="1" applyFill="1" applyAlignment="1">
      <alignment horizontal="center"/>
    </xf>
    <xf numFmtId="0" fontId="2" fillId="5" borderId="0" xfId="2" applyFont="1" applyFill="1" applyAlignment="1">
      <alignment horizontal="center"/>
    </xf>
    <xf numFmtId="0" fontId="2" fillId="5" borderId="0" xfId="2" applyFill="1"/>
    <xf numFmtId="0" fontId="2" fillId="5" borderId="0" xfId="2" applyFont="1" applyFill="1" applyAlignment="1">
      <alignment horizontal="left"/>
    </xf>
    <xf numFmtId="0" fontId="2" fillId="5" borderId="0" xfId="2" applyFont="1" applyFill="1" applyAlignment="1">
      <alignment horizontal="left" vertical="center"/>
    </xf>
    <xf numFmtId="1" fontId="0" fillId="5" borderId="0" xfId="0" applyNumberFormat="1" applyFill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10" fillId="5" borderId="24" xfId="1" applyFont="1" applyFill="1" applyAlignment="1">
      <alignment horizontal="center"/>
    </xf>
    <xf numFmtId="2" fontId="10" fillId="5" borderId="24" xfId="1" applyNumberFormat="1" applyFont="1" applyFill="1" applyAlignment="1">
      <alignment horizontal="center"/>
    </xf>
    <xf numFmtId="165" fontId="7" fillId="5" borderId="24" xfId="1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49" fontId="0" fillId="3" borderId="0" xfId="0" applyNumberFormat="1" applyFill="1" applyAlignment="1">
      <alignment horizontal="left"/>
    </xf>
    <xf numFmtId="165" fontId="7" fillId="0" borderId="24" xfId="1" applyNumberFormat="1" applyFill="1" applyAlignment="1">
      <alignment horizontal="center"/>
    </xf>
    <xf numFmtId="0" fontId="7" fillId="6" borderId="24" xfId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left"/>
    </xf>
    <xf numFmtId="1" fontId="7" fillId="6" borderId="24" xfId="1" applyNumberFormat="1" applyFill="1" applyAlignment="1">
      <alignment horizontal="center"/>
    </xf>
    <xf numFmtId="2" fontId="7" fillId="6" borderId="24" xfId="1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165" fontId="7" fillId="6" borderId="24" xfId="1" applyNumberFormat="1" applyFill="1" applyAlignment="1">
      <alignment horizontal="center"/>
    </xf>
    <xf numFmtId="165" fontId="0" fillId="6" borderId="0" xfId="0" applyNumberForma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1" fontId="0" fillId="6" borderId="0" xfId="0" applyNumberFormat="1" applyFill="1" applyAlignment="1">
      <alignment horizontal="center"/>
    </xf>
    <xf numFmtId="1" fontId="2" fillId="6" borderId="0" xfId="0" applyNumberFormat="1" applyFont="1" applyFill="1" applyAlignment="1">
      <alignment horizontal="left"/>
    </xf>
    <xf numFmtId="1" fontId="13" fillId="6" borderId="0" xfId="4" applyNumberFormat="1" applyFill="1" applyAlignment="1">
      <alignment horizontal="left"/>
    </xf>
    <xf numFmtId="0" fontId="14" fillId="5" borderId="24" xfId="1" applyFont="1" applyFill="1" applyAlignment="1">
      <alignment horizontal="center"/>
    </xf>
    <xf numFmtId="0" fontId="15" fillId="5" borderId="0" xfId="0" applyFont="1" applyFill="1" applyAlignment="1">
      <alignment horizontal="center"/>
    </xf>
    <xf numFmtId="0" fontId="15" fillId="5" borderId="0" xfId="0" applyFont="1" applyFill="1" applyAlignment="1">
      <alignment horizontal="left"/>
    </xf>
    <xf numFmtId="165" fontId="14" fillId="5" borderId="24" xfId="1" applyNumberFormat="1" applyFont="1" applyFill="1" applyAlignment="1">
      <alignment horizontal="center"/>
    </xf>
    <xf numFmtId="2" fontId="15" fillId="5" borderId="0" xfId="0" applyNumberFormat="1" applyFont="1" applyFill="1" applyAlignment="1">
      <alignment horizontal="center"/>
    </xf>
    <xf numFmtId="1" fontId="3" fillId="6" borderId="2" xfId="0" applyNumberFormat="1" applyFont="1" applyFill="1" applyBorder="1" applyAlignment="1">
      <alignment horizontal="center" vertical="center"/>
    </xf>
    <xf numFmtId="0" fontId="2" fillId="6" borderId="3" xfId="0" applyNumberFormat="1" applyFont="1" applyFill="1" applyBorder="1" applyAlignment="1">
      <alignment horizontal="center" vertical="center"/>
    </xf>
    <xf numFmtId="1" fontId="2" fillId="6" borderId="2" xfId="0" quotePrefix="1" applyNumberFormat="1" applyFont="1" applyFill="1" applyBorder="1" applyAlignment="1">
      <alignment horizontal="center" vertical="center"/>
    </xf>
    <xf numFmtId="49" fontId="2" fillId="6" borderId="25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left" vertical="center"/>
    </xf>
    <xf numFmtId="1" fontId="2" fillId="6" borderId="3" xfId="0" applyNumberFormat="1" applyFont="1" applyFill="1" applyBorder="1" applyAlignment="1">
      <alignment horizontal="center" vertical="center"/>
    </xf>
    <xf numFmtId="1" fontId="3" fillId="6" borderId="3" xfId="0" applyNumberFormat="1" applyFont="1" applyFill="1" applyBorder="1" applyAlignment="1">
      <alignment horizontal="center" vertical="center"/>
    </xf>
    <xf numFmtId="49" fontId="3" fillId="6" borderId="25" xfId="0" applyNumberFormat="1" applyFont="1" applyFill="1" applyBorder="1" applyAlignment="1">
      <alignment horizontal="center" vertical="center"/>
    </xf>
    <xf numFmtId="1" fontId="2" fillId="6" borderId="2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left" vertical="center"/>
    </xf>
    <xf numFmtId="1" fontId="2" fillId="6" borderId="4" xfId="0" applyNumberFormat="1" applyFont="1" applyFill="1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16" fillId="3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7" fillId="5" borderId="24" xfId="1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6" fillId="5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2" fontId="16" fillId="5" borderId="0" xfId="0" applyNumberFormat="1" applyFont="1" applyFill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" fontId="16" fillId="6" borderId="5" xfId="0" applyNumberFormat="1" applyFont="1" applyFill="1" applyBorder="1" applyAlignment="1">
      <alignment horizontal="center" vertical="center"/>
    </xf>
    <xf numFmtId="1" fontId="16" fillId="6" borderId="6" xfId="0" applyNumberFormat="1" applyFont="1" applyFill="1" applyBorder="1" applyAlignment="1">
      <alignment horizontal="center" vertical="center"/>
    </xf>
    <xf numFmtId="49" fontId="16" fillId="6" borderId="5" xfId="0" applyNumberFormat="1" applyFont="1" applyFill="1" applyBorder="1" applyAlignment="1">
      <alignment horizontal="center" vertical="center"/>
    </xf>
    <xf numFmtId="49" fontId="16" fillId="6" borderId="27" xfId="0" applyNumberFormat="1" applyFont="1" applyFill="1" applyBorder="1" applyAlignment="1">
      <alignment horizontal="center" vertical="center"/>
    </xf>
    <xf numFmtId="49" fontId="16" fillId="6" borderId="5" xfId="0" applyNumberFormat="1" applyFont="1" applyFill="1" applyBorder="1" applyAlignment="1">
      <alignment horizontal="left" vertical="center"/>
    </xf>
  </cellXfs>
  <cellStyles count="5">
    <cellStyle name="Hyperlink" xfId="4" builtinId="8"/>
    <cellStyle name="Input" xfId="1" builtinId="20"/>
    <cellStyle name="Normal" xfId="0" builtinId="0"/>
    <cellStyle name="Normal 2" xfId="2"/>
    <cellStyle name="Not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19</xdr:col>
      <xdr:colOff>133350</xdr:colOff>
      <xdr:row>75</xdr:row>
      <xdr:rowOff>123825</xdr:rowOff>
    </xdr:to>
    <xdr:grpSp>
      <xdr:nvGrpSpPr>
        <xdr:cNvPr id="25197" name="InnerSheetBorder">
          <a:extLst>
            <a:ext uri="{FF2B5EF4-FFF2-40B4-BE49-F238E27FC236}">
              <a16:creationId xmlns:a16="http://schemas.microsoft.com/office/drawing/2014/main" id="{00000000-0008-0000-0100-00006D620000}"/>
            </a:ext>
          </a:extLst>
        </xdr:cNvPr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25198" name="OB2">
            <a:extLst>
              <a:ext uri="{FF2B5EF4-FFF2-40B4-BE49-F238E27FC236}">
                <a16:creationId xmlns:a16="http://schemas.microsoft.com/office/drawing/2014/main" id="{00000000-0008-0000-0100-00006E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99" name="OB1">
            <a:extLst>
              <a:ext uri="{FF2B5EF4-FFF2-40B4-BE49-F238E27FC236}">
                <a16:creationId xmlns:a16="http://schemas.microsoft.com/office/drawing/2014/main" id="{00000000-0008-0000-0100-00006F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0" name="OB3">
            <a:extLst>
              <a:ext uri="{FF2B5EF4-FFF2-40B4-BE49-F238E27FC236}">
                <a16:creationId xmlns:a16="http://schemas.microsoft.com/office/drawing/2014/main" id="{00000000-0008-0000-0100-000070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1" name="OB4">
            <a:extLst>
              <a:ext uri="{FF2B5EF4-FFF2-40B4-BE49-F238E27FC236}">
                <a16:creationId xmlns:a16="http://schemas.microsoft.com/office/drawing/2014/main" id="{00000000-0008-0000-0100-000071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65942</xdr:colOff>
      <xdr:row>28</xdr:row>
      <xdr:rowOff>51289</xdr:rowOff>
    </xdr:from>
    <xdr:to>
      <xdr:col>6</xdr:col>
      <xdr:colOff>1140893</xdr:colOff>
      <xdr:row>39</xdr:row>
      <xdr:rowOff>134048</xdr:rowOff>
    </xdr:to>
    <xdr:pic>
      <xdr:nvPicPr>
        <xdr:cNvPr id="8" name="Picture 7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0" y="4872404"/>
          <a:ext cx="1074951" cy="2119644"/>
        </a:xfrm>
        <a:prstGeom prst="rect">
          <a:avLst/>
        </a:prstGeom>
      </xdr:spPr>
    </xdr:pic>
    <xdr:clientData/>
  </xdr:twoCellAnchor>
  <xdr:twoCellAnchor editAs="oneCell">
    <xdr:from>
      <xdr:col>7</xdr:col>
      <xdr:colOff>295277</xdr:colOff>
      <xdr:row>32</xdr:row>
      <xdr:rowOff>113179</xdr:rowOff>
    </xdr:from>
    <xdr:to>
      <xdr:col>14</xdr:col>
      <xdr:colOff>313522</xdr:colOff>
      <xdr:row>45</xdr:row>
      <xdr:rowOff>57149</xdr:rowOff>
    </xdr:to>
    <xdr:pic>
      <xdr:nvPicPr>
        <xdr:cNvPr id="9" name="Picture 8" descr="Screen Clippi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2352" y="5656729"/>
          <a:ext cx="4247345" cy="2420470"/>
        </a:xfrm>
        <a:prstGeom prst="rect">
          <a:avLst/>
        </a:prstGeom>
      </xdr:spPr>
    </xdr:pic>
    <xdr:clientData/>
  </xdr:twoCellAnchor>
  <xdr:twoCellAnchor>
    <xdr:from>
      <xdr:col>5</xdr:col>
      <xdr:colOff>4486275</xdr:colOff>
      <xdr:row>39</xdr:row>
      <xdr:rowOff>123825</xdr:rowOff>
    </xdr:from>
    <xdr:to>
      <xdr:col>10</xdr:col>
      <xdr:colOff>590550</xdr:colOff>
      <xdr:row>40</xdr:row>
      <xdr:rowOff>95251</xdr:rowOff>
    </xdr:to>
    <xdr:cxnSp macro="">
      <xdr:nvCxnSpPr>
        <xdr:cNvPr id="11" name="Straight Arrow Connector 10"/>
        <xdr:cNvCxnSpPr/>
      </xdr:nvCxnSpPr>
      <xdr:spPr>
        <a:xfrm flipH="1">
          <a:off x="8220075" y="7000875"/>
          <a:ext cx="5067300" cy="1619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704850</xdr:colOff>
      <xdr:row>113</xdr:row>
      <xdr:rowOff>142875</xdr:rowOff>
    </xdr:from>
    <xdr:to>
      <xdr:col>13</xdr:col>
      <xdr:colOff>84920</xdr:colOff>
      <xdr:row>127</xdr:row>
      <xdr:rowOff>124945</xdr:rowOff>
    </xdr:to>
    <xdr:pic>
      <xdr:nvPicPr>
        <xdr:cNvPr id="13" name="Picture 12" descr="Screen Clippi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53675" y="19545300"/>
          <a:ext cx="4247345" cy="2420470"/>
        </a:xfrm>
        <a:prstGeom prst="rect">
          <a:avLst/>
        </a:prstGeom>
      </xdr:spPr>
    </xdr:pic>
    <xdr:clientData/>
  </xdr:twoCellAnchor>
  <xdr:twoCellAnchor>
    <xdr:from>
      <xdr:col>5</xdr:col>
      <xdr:colOff>3638550</xdr:colOff>
      <xdr:row>124</xdr:row>
      <xdr:rowOff>38100</xdr:rowOff>
    </xdr:from>
    <xdr:to>
      <xdr:col>10</xdr:col>
      <xdr:colOff>285750</xdr:colOff>
      <xdr:row>124</xdr:row>
      <xdr:rowOff>114301</xdr:rowOff>
    </xdr:to>
    <xdr:cxnSp macro="">
      <xdr:nvCxnSpPr>
        <xdr:cNvPr id="15" name="Straight Arrow Connector 14"/>
        <xdr:cNvCxnSpPr/>
      </xdr:nvCxnSpPr>
      <xdr:spPr>
        <a:xfrm flipV="1">
          <a:off x="7372350" y="21393150"/>
          <a:ext cx="5610225" cy="76201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69</v>
          </cell>
        </row>
        <row r="6">
          <cell r="C6">
            <v>65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27.666666666666668</v>
          </cell>
        </row>
        <row r="12">
          <cell r="C12">
            <v>48</v>
          </cell>
        </row>
        <row r="13">
          <cell r="C13">
            <v>357</v>
          </cell>
        </row>
        <row r="14">
          <cell r="C14">
            <v>286.08999999999997</v>
          </cell>
        </row>
        <row r="15">
          <cell r="C15">
            <v>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205</v>
          </cell>
        </row>
        <row r="6">
          <cell r="C6">
            <v>314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84</v>
          </cell>
        </row>
        <row r="12">
          <cell r="C12">
            <v>108</v>
          </cell>
        </row>
        <row r="13">
          <cell r="C13">
            <v>1012</v>
          </cell>
        </row>
        <row r="14">
          <cell r="C14">
            <v>505.07</v>
          </cell>
        </row>
        <row r="15">
          <cell r="C15">
            <v>453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1981</v>
          </cell>
        </row>
        <row r="6">
          <cell r="C6">
            <v>2202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994.44444444444446</v>
          </cell>
        </row>
        <row r="12">
          <cell r="C12">
            <v>668</v>
          </cell>
        </row>
        <row r="13">
          <cell r="C13">
            <v>6026</v>
          </cell>
        </row>
        <row r="14">
          <cell r="C14">
            <v>2</v>
          </cell>
        </row>
        <row r="16">
          <cell r="C16">
            <v>644</v>
          </cell>
        </row>
        <row r="17">
          <cell r="C17" t="str">
            <v>LUMP</v>
          </cell>
        </row>
        <row r="19">
          <cell r="C19">
            <v>49169</v>
          </cell>
        </row>
        <row r="20">
          <cell r="C20">
            <v>11</v>
          </cell>
        </row>
        <row r="21">
          <cell r="C21">
            <v>264</v>
          </cell>
        </row>
        <row r="22">
          <cell r="C22">
            <v>243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\basemaps\89464_0E9BF001.dg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F25"/>
    </sheetView>
  </sheetViews>
  <sheetFormatPr defaultRowHeight="12.75" x14ac:dyDescent="0.2"/>
  <cols>
    <col min="2" max="2" width="13.140625" bestFit="1" customWidth="1"/>
    <col min="3" max="3" width="8.85546875" bestFit="1" customWidth="1"/>
    <col min="5" max="5" width="84.5703125" style="2" bestFit="1" customWidth="1"/>
    <col min="6" max="6" width="17" customWidth="1"/>
  </cols>
  <sheetData>
    <row r="1" spans="1:6" x14ac:dyDescent="0.2">
      <c r="A1" s="150" t="s">
        <v>29</v>
      </c>
      <c r="B1" s="151"/>
      <c r="C1" s="151"/>
      <c r="D1" s="151"/>
      <c r="E1" s="152"/>
      <c r="F1" s="156" t="s">
        <v>30</v>
      </c>
    </row>
    <row r="2" spans="1:6" ht="13.5" thickBot="1" x14ac:dyDescent="0.25">
      <c r="A2" s="153"/>
      <c r="B2" s="154"/>
      <c r="C2" s="154"/>
      <c r="D2" s="154"/>
      <c r="E2" s="155"/>
      <c r="F2" s="157"/>
    </row>
    <row r="3" spans="1:6" ht="12.75" customHeight="1" x14ac:dyDescent="0.2">
      <c r="A3" s="159" t="s">
        <v>0</v>
      </c>
      <c r="B3" s="161" t="s">
        <v>4</v>
      </c>
      <c r="C3" s="163" t="s">
        <v>1</v>
      </c>
      <c r="D3" s="161" t="s">
        <v>2</v>
      </c>
      <c r="E3" s="164" t="s">
        <v>3</v>
      </c>
      <c r="F3" s="157"/>
    </row>
    <row r="4" spans="1:6" ht="13.5" customHeight="1" thickBot="1" x14ac:dyDescent="0.25">
      <c r="A4" s="160"/>
      <c r="B4" s="162"/>
      <c r="C4" s="160"/>
      <c r="D4" s="162"/>
      <c r="E4" s="165"/>
      <c r="F4" s="158"/>
    </row>
    <row r="5" spans="1:6" x14ac:dyDescent="0.2">
      <c r="A5" s="6">
        <f>'E9'!B5</f>
        <v>203</v>
      </c>
      <c r="B5" s="6">
        <f>'E9'!C5</f>
        <v>20000</v>
      </c>
      <c r="C5" s="6">
        <f>'E9'!D5</f>
        <v>1523</v>
      </c>
      <c r="D5" s="6" t="str">
        <f>'E9'!E5</f>
        <v>CU YD</v>
      </c>
      <c r="E5" s="83" t="str">
        <f>'E9'!F5</f>
        <v>EMBANKMENT</v>
      </c>
      <c r="F5" s="6"/>
    </row>
    <row r="6" spans="1:6" x14ac:dyDescent="0.2">
      <c r="A6" s="6">
        <f>'E9'!B6</f>
        <v>203</v>
      </c>
      <c r="B6" s="6">
        <f>'E9'!C6</f>
        <v>35110</v>
      </c>
      <c r="C6" s="6">
        <f>'E9'!D6</f>
        <v>1229</v>
      </c>
      <c r="D6" s="6" t="str">
        <f>'E9'!E6</f>
        <v>CU YD</v>
      </c>
      <c r="E6" s="83" t="str">
        <f>'E9'!F6</f>
        <v>GRANULAR MATERIAL, TYPE B</v>
      </c>
      <c r="F6" s="6"/>
    </row>
    <row r="7" spans="1:6" x14ac:dyDescent="0.2">
      <c r="A7" s="6"/>
      <c r="B7" s="6"/>
      <c r="C7" s="6"/>
      <c r="D7" s="6"/>
      <c r="E7" s="83"/>
      <c r="F7" s="6"/>
    </row>
    <row r="8" spans="1:6" x14ac:dyDescent="0.2">
      <c r="A8" s="6">
        <f>'E9'!B8</f>
        <v>503</v>
      </c>
      <c r="B8" s="6">
        <f>'E9'!C8</f>
        <v>11101</v>
      </c>
      <c r="C8" s="6" t="str">
        <f>'E9'!D8</f>
        <v>LS</v>
      </c>
      <c r="D8" s="6" t="str">
        <f>'E9'!E8</f>
        <v>LS</v>
      </c>
      <c r="E8" s="83" t="str">
        <f>'E9'!F8</f>
        <v>COFFERDAMS AND EXCAVATION, AS PER PLAN</v>
      </c>
      <c r="F8" s="6"/>
    </row>
    <row r="9" spans="1:6" x14ac:dyDescent="0.2">
      <c r="A9" s="6">
        <f>'E9'!B9</f>
        <v>509</v>
      </c>
      <c r="B9" s="6">
        <f>'E9'!C9</f>
        <v>10001</v>
      </c>
      <c r="C9" s="6">
        <f>'E9'!D9</f>
        <v>3766</v>
      </c>
      <c r="D9" s="6" t="str">
        <f>'E9'!E9</f>
        <v>LB</v>
      </c>
      <c r="E9" s="83" t="str">
        <f>'E9'!F9</f>
        <v>EPOXY COATED REINFORCING STEEL, AS PER PLAN</v>
      </c>
      <c r="F9" s="6"/>
    </row>
    <row r="10" spans="1:6" x14ac:dyDescent="0.2">
      <c r="A10" s="6">
        <f>'E9'!B10</f>
        <v>511</v>
      </c>
      <c r="B10" s="6">
        <f>'E9'!C10</f>
        <v>53012</v>
      </c>
      <c r="C10" s="6">
        <f>'E9'!D10</f>
        <v>24</v>
      </c>
      <c r="D10" s="6" t="str">
        <f>'E9'!E10</f>
        <v>CU YD</v>
      </c>
      <c r="E10" s="83" t="str">
        <f>'E9'!F10</f>
        <v>CLASS QC2 CONCRETE, MISC.: PARAPET INCLUDING SLEEPER SLAB WITH QC/QA</v>
      </c>
      <c r="F10" s="6"/>
    </row>
    <row r="11" spans="1:6" x14ac:dyDescent="0.2">
      <c r="A11" s="6"/>
      <c r="B11" s="6"/>
      <c r="C11" s="6"/>
      <c r="D11" s="6"/>
      <c r="E11" s="83"/>
      <c r="F11" s="6"/>
    </row>
    <row r="12" spans="1:6" x14ac:dyDescent="0.2">
      <c r="A12" s="6">
        <f>'E9'!B12</f>
        <v>512</v>
      </c>
      <c r="B12" s="6">
        <f>'E9'!C12</f>
        <v>10001</v>
      </c>
      <c r="C12" s="6">
        <f>'E9'!D12</f>
        <v>41</v>
      </c>
      <c r="D12" s="6" t="str">
        <f>'E9'!E12</f>
        <v>SQ YD</v>
      </c>
      <c r="E12" s="83" t="str">
        <f>'E9'!F12</f>
        <v>SEALING OF CONCRETE SURFACES, (PERMANENT GRAFFITI PROTECTION), AS PER PLAN</v>
      </c>
      <c r="F12" s="6"/>
    </row>
    <row r="13" spans="1:6" x14ac:dyDescent="0.2">
      <c r="A13" s="6">
        <f>'E9'!B13</f>
        <v>512</v>
      </c>
      <c r="B13" s="6">
        <f>'E9'!C13</f>
        <v>10100</v>
      </c>
      <c r="C13" s="6">
        <f>'E9'!D13</f>
        <v>500</v>
      </c>
      <c r="D13" s="6" t="str">
        <f>'E9'!E13</f>
        <v>SQ YD</v>
      </c>
      <c r="E13" s="83" t="str">
        <f>'E9'!F13</f>
        <v>SEALING OF CONCRETE SURFACES (EPOXY URETHANE)</v>
      </c>
      <c r="F13" s="6"/>
    </row>
    <row r="14" spans="1:6" x14ac:dyDescent="0.2">
      <c r="A14" s="6">
        <f>'E9'!B14</f>
        <v>516</v>
      </c>
      <c r="B14" s="6">
        <f>'E9'!C14</f>
        <v>13200</v>
      </c>
      <c r="C14" s="6">
        <f>'E9'!D14</f>
        <v>70</v>
      </c>
      <c r="D14" s="6" t="str">
        <f>'E9'!E14</f>
        <v>SQ FT</v>
      </c>
      <c r="E14" s="83" t="str">
        <f>'E9'!F14</f>
        <v>1/2" PREFORMED EXPANSION JOINT FILLER</v>
      </c>
      <c r="F14" s="6"/>
    </row>
    <row r="15" spans="1:6" x14ac:dyDescent="0.2">
      <c r="A15" s="6">
        <f>'E9'!B15</f>
        <v>516</v>
      </c>
      <c r="B15" s="6">
        <f>'E9'!C15</f>
        <v>13900</v>
      </c>
      <c r="C15" s="6">
        <f>'E9'!D15</f>
        <v>195</v>
      </c>
      <c r="D15" s="6" t="str">
        <f>'E9'!E15</f>
        <v>SQ FT</v>
      </c>
      <c r="E15" s="83" t="str">
        <f>'E9'!F15</f>
        <v>2" PREFORMED EXPANSION JOINT FILLER</v>
      </c>
      <c r="F15" s="6"/>
    </row>
    <row r="16" spans="1:6" x14ac:dyDescent="0.2">
      <c r="A16" s="6"/>
      <c r="B16" s="6"/>
      <c r="C16" s="6"/>
      <c r="D16" s="6"/>
      <c r="E16" s="83"/>
      <c r="F16" s="6"/>
    </row>
    <row r="17" spans="1:6" x14ac:dyDescent="0.2">
      <c r="A17" s="6">
        <f>'E9'!B17</f>
        <v>840</v>
      </c>
      <c r="B17" s="6">
        <f>'E9'!C17</f>
        <v>20001</v>
      </c>
      <c r="C17" s="6">
        <f>'E9'!D17</f>
        <v>5574</v>
      </c>
      <c r="D17" s="6" t="str">
        <f>'E9'!E17</f>
        <v>SQ FT</v>
      </c>
      <c r="E17" s="83" t="str">
        <f>'E9'!F17</f>
        <v>MECHANICALLY STABILIZED EARTH WALL, AS PER PLAN</v>
      </c>
      <c r="F17" s="6"/>
    </row>
    <row r="18" spans="1:6" x14ac:dyDescent="0.2">
      <c r="A18" s="6">
        <f>'E9'!B18</f>
        <v>840</v>
      </c>
      <c r="B18" s="6">
        <f>'E9'!C18</f>
        <v>21000</v>
      </c>
      <c r="C18" s="6">
        <f>'E9'!D18</f>
        <v>2754</v>
      </c>
      <c r="D18" s="6" t="str">
        <f>'E9'!E18</f>
        <v>CU YD</v>
      </c>
      <c r="E18" s="83" t="str">
        <f>'E9'!F18</f>
        <v>WALL EXCAVATION</v>
      </c>
      <c r="F18" s="6"/>
    </row>
    <row r="19" spans="1:6" x14ac:dyDescent="0.2">
      <c r="A19" s="6">
        <f>'E9'!B19</f>
        <v>840</v>
      </c>
      <c r="B19" s="6">
        <f>'E9'!C19</f>
        <v>22000</v>
      </c>
      <c r="C19" s="6">
        <f>'E9'!D19</f>
        <v>502</v>
      </c>
      <c r="D19" s="6" t="str">
        <f>'E9'!E19</f>
        <v>SQ YD</v>
      </c>
      <c r="E19" s="83" t="str">
        <f>'E9'!F19</f>
        <v>FOUNDATION PREPARATION</v>
      </c>
      <c r="F19" s="6"/>
    </row>
    <row r="20" spans="1:6" x14ac:dyDescent="0.2">
      <c r="A20" s="6">
        <f>'E9'!B20</f>
        <v>840</v>
      </c>
      <c r="B20" s="6">
        <f>'E9'!C20</f>
        <v>23000</v>
      </c>
      <c r="C20" s="6">
        <f>'E9'!D20</f>
        <v>13143</v>
      </c>
      <c r="D20" s="6" t="str">
        <f>'E9'!E20</f>
        <v>CU YD</v>
      </c>
      <c r="E20" s="83" t="str">
        <f>'E9'!F20</f>
        <v>SELECT GRANULAR BACKFILL</v>
      </c>
      <c r="F20" s="6"/>
    </row>
    <row r="21" spans="1:6" x14ac:dyDescent="0.2">
      <c r="A21" s="6">
        <f>'E9'!B21</f>
        <v>840</v>
      </c>
      <c r="B21" s="6">
        <f>'E9'!C21</f>
        <v>25010</v>
      </c>
      <c r="C21" s="6">
        <f>'E9'!D21</f>
        <v>334</v>
      </c>
      <c r="D21" s="6" t="str">
        <f>'E9'!E21</f>
        <v>FT</v>
      </c>
      <c r="E21" s="83" t="str">
        <f>'E9'!F21</f>
        <v>6" DRAINAGE PIPE, PERFORATED</v>
      </c>
      <c r="F21" s="6"/>
    </row>
    <row r="22" spans="1:6" x14ac:dyDescent="0.2">
      <c r="A22" s="6"/>
      <c r="B22" s="6"/>
      <c r="C22" s="6"/>
      <c r="D22" s="6"/>
      <c r="E22" s="83"/>
      <c r="F22" s="6"/>
    </row>
    <row r="23" spans="1:6" x14ac:dyDescent="0.2">
      <c r="A23" s="6">
        <f>'E9'!B23</f>
        <v>840</v>
      </c>
      <c r="B23" s="6">
        <f>'E9'!C23</f>
        <v>26000</v>
      </c>
      <c r="C23" s="6">
        <f>'E9'!D23</f>
        <v>169</v>
      </c>
      <c r="D23" s="6" t="str">
        <f>'E9'!E23</f>
        <v>FT</v>
      </c>
      <c r="E23" s="83" t="str">
        <f>'E9'!F23</f>
        <v>CONCRETE COPING</v>
      </c>
      <c r="F23" s="6"/>
    </row>
    <row r="24" spans="1:6" x14ac:dyDescent="0.2">
      <c r="A24" s="6">
        <f>'E9'!B24</f>
        <v>840</v>
      </c>
      <c r="B24" s="6">
        <f>'E9'!C24</f>
        <v>26050</v>
      </c>
      <c r="C24" s="6">
        <f>'E9'!D24</f>
        <v>5263</v>
      </c>
      <c r="D24" s="6" t="str">
        <f>'E9'!E24</f>
        <v>SQ FT</v>
      </c>
      <c r="E24" s="83" t="str">
        <f>'E9'!F24</f>
        <v>AESTHETIC SURFACE TREATMENT</v>
      </c>
      <c r="F24" s="6"/>
    </row>
    <row r="25" spans="1:6" ht="13.5" thickBot="1" x14ac:dyDescent="0.25">
      <c r="A25" s="82">
        <f>'E9'!B25</f>
        <v>840</v>
      </c>
      <c r="B25" s="82">
        <f>'E9'!C25</f>
        <v>27000</v>
      </c>
      <c r="C25" s="82">
        <f>'E9'!D25</f>
        <v>5</v>
      </c>
      <c r="D25" s="82" t="str">
        <f>'E9'!E25</f>
        <v>DAY</v>
      </c>
      <c r="E25" s="84" t="str">
        <f>'E9'!F25</f>
        <v>ON-SITE ASSISTANCE</v>
      </c>
      <c r="F25" s="82"/>
    </row>
    <row r="26" spans="1:6" ht="13.5" hidden="1" thickBot="1" x14ac:dyDescent="0.25">
      <c r="A26" s="82">
        <f>'E9'!B26</f>
        <v>840</v>
      </c>
      <c r="B26" s="82">
        <f>'E9'!C26</f>
        <v>28000</v>
      </c>
      <c r="C26" s="82" t="str">
        <f>'E9'!D26</f>
        <v>LS</v>
      </c>
      <c r="D26" s="82" t="str">
        <f>'E9'!E26</f>
        <v>LS</v>
      </c>
      <c r="E26" s="84" t="str">
        <f>'E9'!F26</f>
        <v>SGB INSPECTION AND COMPACTION TESTING</v>
      </c>
      <c r="F26" s="82"/>
    </row>
  </sheetData>
  <mergeCells count="7">
    <mergeCell ref="A1:E2"/>
    <mergeCell ref="F1:F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workbookViewId="0">
      <selection activeCell="F16" sqref="F16"/>
    </sheetView>
  </sheetViews>
  <sheetFormatPr defaultRowHeight="12.75" x14ac:dyDescent="0.2"/>
  <cols>
    <col min="1" max="1" width="7.85546875" bestFit="1" customWidth="1"/>
    <col min="2" max="3" width="13.85546875" bestFit="1" customWidth="1"/>
    <col min="4" max="4" width="8.85546875" bestFit="1" customWidth="1"/>
    <col min="5" max="5" width="7.140625" bestFit="1" customWidth="1"/>
    <col min="6" max="6" width="84" bestFit="1" customWidth="1"/>
    <col min="7" max="7" width="18.5703125" bestFit="1" customWidth="1"/>
    <col min="8" max="8" width="8.85546875" customWidth="1"/>
    <col min="13" max="15" width="9" customWidth="1"/>
  </cols>
  <sheetData>
    <row r="1" spans="1:7" ht="12.75" customHeight="1" x14ac:dyDescent="0.2">
      <c r="A1" s="65"/>
      <c r="B1" s="150" t="s">
        <v>29</v>
      </c>
      <c r="C1" s="151"/>
      <c r="D1" s="151"/>
      <c r="E1" s="151"/>
      <c r="F1" s="152"/>
      <c r="G1" s="156" t="s">
        <v>30</v>
      </c>
    </row>
    <row r="2" spans="1:7" ht="12.75" customHeight="1" thickBot="1" x14ac:dyDescent="0.25">
      <c r="A2" s="66"/>
      <c r="B2" s="153"/>
      <c r="C2" s="154"/>
      <c r="D2" s="154"/>
      <c r="E2" s="154"/>
      <c r="F2" s="155"/>
      <c r="G2" s="157"/>
    </row>
    <row r="3" spans="1:7" ht="12.75" customHeight="1" x14ac:dyDescent="0.2">
      <c r="A3" s="166" t="s">
        <v>61</v>
      </c>
      <c r="B3" s="159" t="s">
        <v>0</v>
      </c>
      <c r="C3" s="161" t="s">
        <v>4</v>
      </c>
      <c r="D3" s="161" t="s">
        <v>1</v>
      </c>
      <c r="E3" s="161" t="s">
        <v>2</v>
      </c>
      <c r="F3" s="159" t="s">
        <v>3</v>
      </c>
      <c r="G3" s="157"/>
    </row>
    <row r="4" spans="1:7" ht="13.5" customHeight="1" thickBot="1" x14ac:dyDescent="0.25">
      <c r="A4" s="167"/>
      <c r="B4" s="160"/>
      <c r="C4" s="162"/>
      <c r="D4" s="162"/>
      <c r="E4" s="162"/>
      <c r="F4" s="160"/>
      <c r="G4" s="158"/>
    </row>
    <row r="5" spans="1:7" s="50" customFormat="1" ht="13.5" customHeight="1" x14ac:dyDescent="0.2">
      <c r="A5" s="67" t="s">
        <v>8</v>
      </c>
      <c r="B5" s="70">
        <v>207</v>
      </c>
      <c r="C5" s="63">
        <v>11200</v>
      </c>
      <c r="D5" s="63" t="s">
        <v>8</v>
      </c>
      <c r="E5" s="63" t="s">
        <v>8</v>
      </c>
      <c r="F5" s="64" t="s">
        <v>80</v>
      </c>
      <c r="G5" s="62"/>
    </row>
    <row r="6" spans="1:7" x14ac:dyDescent="0.2">
      <c r="A6" s="68" t="e">
        <f>'E9'!#REF!</f>
        <v>#REF!</v>
      </c>
      <c r="B6" s="6">
        <v>203</v>
      </c>
      <c r="C6" s="6">
        <v>35110</v>
      </c>
      <c r="D6" s="6" t="e">
        <f>SUM(A6:A6)</f>
        <v>#REF!</v>
      </c>
      <c r="E6" s="47" t="s">
        <v>6</v>
      </c>
      <c r="F6" s="46" t="s">
        <v>63</v>
      </c>
      <c r="G6" s="39"/>
    </row>
    <row r="7" spans="1:7" x14ac:dyDescent="0.2">
      <c r="A7" s="68" t="e">
        <f>'E9'!#REF!</f>
        <v>#REF!</v>
      </c>
      <c r="B7" s="6">
        <v>203</v>
      </c>
      <c r="C7" s="6">
        <v>35120</v>
      </c>
      <c r="D7" s="6" t="e">
        <f>SUM(A7:A7)</f>
        <v>#REF!</v>
      </c>
      <c r="E7" s="47" t="s">
        <v>6</v>
      </c>
      <c r="F7" s="46" t="s">
        <v>64</v>
      </c>
      <c r="G7" s="39"/>
    </row>
    <row r="8" spans="1:7" x14ac:dyDescent="0.2">
      <c r="A8" s="68" t="e">
        <f>'E9'!#REF!</f>
        <v>#REF!</v>
      </c>
      <c r="B8" s="6">
        <v>203</v>
      </c>
      <c r="C8" s="6">
        <v>98000</v>
      </c>
      <c r="D8" s="6" t="e">
        <f>SUM(A8:A8)</f>
        <v>#REF!</v>
      </c>
      <c r="E8" s="47" t="s">
        <v>6</v>
      </c>
      <c r="F8" s="46" t="s">
        <v>79</v>
      </c>
      <c r="G8" s="39"/>
    </row>
    <row r="9" spans="1:7" x14ac:dyDescent="0.2">
      <c r="A9" s="68" t="e">
        <f>'E9'!#REF!</f>
        <v>#REF!</v>
      </c>
      <c r="B9" s="6">
        <v>203</v>
      </c>
      <c r="C9" s="6">
        <v>98000</v>
      </c>
      <c r="D9" s="6" t="e">
        <f>SUM(A9:A9)</f>
        <v>#REF!</v>
      </c>
      <c r="E9" s="47" t="s">
        <v>6</v>
      </c>
      <c r="F9" s="46" t="s">
        <v>91</v>
      </c>
      <c r="G9" s="39"/>
    </row>
    <row r="10" spans="1:7" x14ac:dyDescent="0.2">
      <c r="A10" s="68"/>
      <c r="B10" s="6"/>
      <c r="C10" s="6"/>
      <c r="D10" s="6"/>
      <c r="E10" s="7"/>
      <c r="F10" s="46"/>
      <c r="G10" s="39"/>
    </row>
    <row r="11" spans="1:7" x14ac:dyDescent="0.2">
      <c r="A11" s="68" t="e">
        <f>'E9'!#REF!</f>
        <v>#REF!</v>
      </c>
      <c r="B11" s="39" t="s">
        <v>7</v>
      </c>
      <c r="C11" s="6">
        <v>20365000</v>
      </c>
      <c r="D11" s="6" t="e">
        <f>SUM(A11:A11)</f>
        <v>#REF!</v>
      </c>
      <c r="E11" s="47" t="s">
        <v>37</v>
      </c>
      <c r="F11" s="46" t="s">
        <v>65</v>
      </c>
      <c r="G11" s="39"/>
    </row>
    <row r="12" spans="1:7" x14ac:dyDescent="0.2">
      <c r="A12" s="68"/>
      <c r="B12" s="4"/>
      <c r="C12" s="4"/>
      <c r="D12" s="6"/>
      <c r="E12" s="49"/>
      <c r="F12" s="48"/>
      <c r="G12" s="40"/>
    </row>
    <row r="13" spans="1:7" x14ac:dyDescent="0.2">
      <c r="A13" s="68">
        <f>'E9'!B9</f>
        <v>509</v>
      </c>
      <c r="B13" s="4">
        <f>'E9'!B9</f>
        <v>509</v>
      </c>
      <c r="C13" s="4">
        <f>'E9'!C9</f>
        <v>10001</v>
      </c>
      <c r="D13" s="4">
        <f>'E9'!D9</f>
        <v>3766</v>
      </c>
      <c r="E13" s="4" t="str">
        <f>'E9'!E9</f>
        <v>LB</v>
      </c>
      <c r="F13" s="71" t="str">
        <f>'E9'!F9</f>
        <v>EPOXY COATED REINFORCING STEEL, AS PER PLAN</v>
      </c>
      <c r="G13" s="40"/>
    </row>
    <row r="14" spans="1:7" x14ac:dyDescent="0.2">
      <c r="A14" s="68">
        <f>'E9'!B10</f>
        <v>511</v>
      </c>
      <c r="B14" s="4">
        <f>'E9'!B10</f>
        <v>511</v>
      </c>
      <c r="C14" s="4">
        <f>'E9'!C10</f>
        <v>53012</v>
      </c>
      <c r="D14" s="4">
        <f>'E9'!D10</f>
        <v>24</v>
      </c>
      <c r="E14" s="4" t="str">
        <f>'E9'!E10</f>
        <v>CU YD</v>
      </c>
      <c r="F14" s="71" t="str">
        <f>'E9'!F10</f>
        <v>CLASS QC2 CONCRETE, MISC.: PARAPET INCLUDING SLEEPER SLAB WITH QC/QA</v>
      </c>
      <c r="G14" s="40"/>
    </row>
    <row r="15" spans="1:7" x14ac:dyDescent="0.2">
      <c r="A15" s="68" t="e">
        <f>'E9'!#REF!</f>
        <v>#REF!</v>
      </c>
      <c r="B15" s="4">
        <v>511</v>
      </c>
      <c r="C15" s="4">
        <v>53012</v>
      </c>
      <c r="D15" s="4" t="e">
        <f>A15</f>
        <v>#REF!</v>
      </c>
      <c r="E15" s="49" t="s">
        <v>6</v>
      </c>
      <c r="F15" s="48" t="s">
        <v>93</v>
      </c>
      <c r="G15" s="40"/>
    </row>
    <row r="16" spans="1:7" ht="12.75" customHeight="1" x14ac:dyDescent="0.2">
      <c r="A16" s="68" t="e">
        <f>'E9'!#REF!</f>
        <v>#REF!</v>
      </c>
      <c r="B16" s="4">
        <v>512</v>
      </c>
      <c r="C16" s="4">
        <v>10001</v>
      </c>
      <c r="D16" s="6" t="e">
        <f>A16</f>
        <v>#REF!</v>
      </c>
      <c r="E16" s="49" t="s">
        <v>9</v>
      </c>
      <c r="F16" s="48" t="s">
        <v>77</v>
      </c>
      <c r="G16" s="40"/>
    </row>
    <row r="17" spans="1:7" ht="12.75" customHeight="1" x14ac:dyDescent="0.2">
      <c r="A17" s="68">
        <f>'E9'!D13</f>
        <v>500</v>
      </c>
      <c r="B17" s="4">
        <f>IF(VOID!E7=0, "", VOID!E7)</f>
        <v>512</v>
      </c>
      <c r="C17" s="4">
        <v>10100</v>
      </c>
      <c r="D17" s="6">
        <f>SUM(A17:A17)</f>
        <v>500</v>
      </c>
      <c r="E17" s="5" t="str">
        <f>IF(VOID!H7=0, "", VOID!H7)</f>
        <v>SQ YD</v>
      </c>
      <c r="F17" s="48" t="s">
        <v>78</v>
      </c>
      <c r="G17" s="40"/>
    </row>
    <row r="18" spans="1:7" ht="12.75" hidden="1" customHeight="1" x14ac:dyDescent="0.2">
      <c r="A18" s="68">
        <f>'E9'!D14</f>
        <v>70</v>
      </c>
      <c r="B18" s="4">
        <v>517</v>
      </c>
      <c r="C18" s="4">
        <v>74501</v>
      </c>
      <c r="D18" s="6">
        <f>SUM(A18:A18)</f>
        <v>70</v>
      </c>
      <c r="E18" s="49" t="s">
        <v>10</v>
      </c>
      <c r="F18" s="48" t="s">
        <v>66</v>
      </c>
      <c r="G18" s="40"/>
    </row>
    <row r="19" spans="1:7" ht="12.75" customHeight="1" x14ac:dyDescent="0.2">
      <c r="A19" s="68"/>
      <c r="B19" s="4"/>
      <c r="C19" s="4"/>
      <c r="D19" s="6"/>
      <c r="E19" s="49"/>
      <c r="F19" s="48"/>
      <c r="G19" s="40"/>
    </row>
    <row r="20" spans="1:7" ht="12.75" customHeight="1" x14ac:dyDescent="0.2">
      <c r="A20" s="68">
        <f>'E9'!D17</f>
        <v>5574</v>
      </c>
      <c r="B20" s="4">
        <v>840</v>
      </c>
      <c r="C20" s="4">
        <v>20001</v>
      </c>
      <c r="D20" s="6">
        <f>SUM(A20:A20)</f>
        <v>5574</v>
      </c>
      <c r="E20" s="49" t="s">
        <v>11</v>
      </c>
      <c r="F20" s="48" t="s">
        <v>67</v>
      </c>
      <c r="G20" s="40"/>
    </row>
    <row r="21" spans="1:7" ht="12.75" customHeight="1" x14ac:dyDescent="0.2">
      <c r="A21" s="68">
        <f>'E9'!D18</f>
        <v>2754</v>
      </c>
      <c r="B21" s="4">
        <v>840</v>
      </c>
      <c r="C21" s="4">
        <v>21000</v>
      </c>
      <c r="D21" s="6">
        <f>SUM(A21:A21)</f>
        <v>2754</v>
      </c>
      <c r="E21" s="49" t="s">
        <v>6</v>
      </c>
      <c r="F21" s="48" t="s">
        <v>68</v>
      </c>
      <c r="G21" s="4"/>
    </row>
    <row r="22" spans="1:7" ht="12.75" customHeight="1" x14ac:dyDescent="0.2">
      <c r="A22" s="68">
        <f>'E9'!D20</f>
        <v>13143</v>
      </c>
      <c r="B22" s="4">
        <v>840</v>
      </c>
      <c r="C22" s="4">
        <v>23000</v>
      </c>
      <c r="D22" s="6">
        <f>SUM(A22:A22)</f>
        <v>13143</v>
      </c>
      <c r="E22" s="49" t="s">
        <v>6</v>
      </c>
      <c r="F22" s="48" t="s">
        <v>70</v>
      </c>
      <c r="G22" s="40"/>
    </row>
    <row r="23" spans="1:7" ht="12.75" customHeight="1" x14ac:dyDescent="0.2">
      <c r="A23" s="68">
        <f>'E9'!D21</f>
        <v>334</v>
      </c>
      <c r="B23" s="4">
        <v>840</v>
      </c>
      <c r="C23" s="4">
        <v>25010</v>
      </c>
      <c r="D23" s="6">
        <f>SUM(A23:A23)</f>
        <v>334</v>
      </c>
      <c r="E23" s="49" t="s">
        <v>10</v>
      </c>
      <c r="F23" s="48" t="s">
        <v>71</v>
      </c>
      <c r="G23" s="40"/>
    </row>
    <row r="24" spans="1:7" ht="12.75" customHeight="1" x14ac:dyDescent="0.2">
      <c r="A24" s="68">
        <f>'E9'!D23</f>
        <v>169</v>
      </c>
      <c r="B24" s="4">
        <v>840</v>
      </c>
      <c r="C24" s="4">
        <v>26000</v>
      </c>
      <c r="D24" s="6">
        <f>SUM(A24:A24)</f>
        <v>169</v>
      </c>
      <c r="E24" s="49" t="s">
        <v>10</v>
      </c>
      <c r="F24" s="48" t="s">
        <v>72</v>
      </c>
      <c r="G24" s="4"/>
    </row>
    <row r="25" spans="1:7" ht="12.75" customHeight="1" x14ac:dyDescent="0.2">
      <c r="A25" s="68"/>
      <c r="B25" s="4"/>
      <c r="C25" s="4"/>
      <c r="D25" s="6"/>
      <c r="E25" s="49"/>
      <c r="F25" s="48"/>
      <c r="G25" s="4"/>
    </row>
    <row r="26" spans="1:7" ht="12.75" customHeight="1" x14ac:dyDescent="0.2">
      <c r="A26" s="68">
        <f>'E9'!D24</f>
        <v>5263</v>
      </c>
      <c r="B26" s="4">
        <v>840</v>
      </c>
      <c r="C26" s="4">
        <v>26050</v>
      </c>
      <c r="D26" s="6">
        <f>SUM(A26:A26)</f>
        <v>5263</v>
      </c>
      <c r="E26" s="49" t="s">
        <v>11</v>
      </c>
      <c r="F26" s="48" t="s">
        <v>76</v>
      </c>
      <c r="G26" s="4"/>
    </row>
    <row r="27" spans="1:7" ht="13.5" thickBot="1" x14ac:dyDescent="0.25">
      <c r="A27" s="69"/>
      <c r="B27" s="36" t="str">
        <f>IF(VOID!E22=0, "", VOID!E22)</f>
        <v/>
      </c>
      <c r="C27" s="36" t="str">
        <f>IF(VOID!F22=0, "", VOID!F22)</f>
        <v/>
      </c>
      <c r="D27" s="36" t="str">
        <f>IF(VOID!G22=0, "", VOID!G22)</f>
        <v/>
      </c>
      <c r="E27" s="37" t="str">
        <f>IF(VOID!H22=0, "", VOID!H22)</f>
        <v/>
      </c>
      <c r="F27" s="38" t="str">
        <f>IF(VOID!I22=0, "", VOID!I22)</f>
        <v/>
      </c>
      <c r="G27" s="36" t="str">
        <f>IF(VOID!J22=0, "", VOID!J22)</f>
        <v/>
      </c>
    </row>
    <row r="30" spans="1:7" ht="12.75" customHeight="1" x14ac:dyDescent="0.2"/>
    <row r="31" spans="1:7" ht="13.5" customHeight="1" x14ac:dyDescent="0.2"/>
  </sheetData>
  <mergeCells count="8">
    <mergeCell ref="A3:A4"/>
    <mergeCell ref="F3:F4"/>
    <mergeCell ref="B1:F2"/>
    <mergeCell ref="G1:G4"/>
    <mergeCell ref="B3:B4"/>
    <mergeCell ref="E3:E4"/>
    <mergeCell ref="C3:C4"/>
    <mergeCell ref="D3:D4"/>
  </mergeCells>
  <phoneticPr fontId="0" type="noConversion"/>
  <pageMargins left="0.75" right="0.75" top="1" bottom="1" header="0.5" footer="0.5"/>
  <pageSetup paperSize="17" scale="8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3"/>
    <col min="5" max="5" width="8.85546875" style="25" bestFit="1" customWidth="1"/>
    <col min="6" max="6" width="9.7109375" style="27" bestFit="1" customWidth="1"/>
    <col min="7" max="7" width="8.5703125" style="27" bestFit="1" customWidth="1"/>
    <col min="8" max="8" width="6.85546875" style="27" bestFit="1" customWidth="1"/>
    <col min="9" max="9" width="84" style="27" bestFit="1" customWidth="1"/>
    <col min="10" max="10" width="9" style="27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11">
        <f>[1]Calcs!$C$3</f>
        <v>553</v>
      </c>
      <c r="C3" s="11">
        <f>[2]Calcs!$C$3</f>
        <v>1779</v>
      </c>
      <c r="D3" s="1">
        <f>[3]Calcs!$C$3</f>
        <v>14230</v>
      </c>
      <c r="E3" s="1">
        <v>507</v>
      </c>
      <c r="F3" s="8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11">
        <f>[1]Calcs!$C$4</f>
        <v>5514</v>
      </c>
      <c r="C4" s="11">
        <f>[2]Calcs!$C$4</f>
        <v>19557</v>
      </c>
      <c r="D4" s="1">
        <f>[3]Calcs!$C$4</f>
        <v>297098</v>
      </c>
      <c r="E4" s="1">
        <v>509</v>
      </c>
      <c r="F4" s="8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11">
        <f>[1]Calcs!$C$5</f>
        <v>69</v>
      </c>
      <c r="C5" s="11">
        <f>[2]Calcs!$C$5</f>
        <v>205</v>
      </c>
      <c r="D5" s="11">
        <f>[3]Calcs!$C$5</f>
        <v>1981</v>
      </c>
      <c r="E5" s="1">
        <v>511</v>
      </c>
      <c r="F5" s="8" t="s">
        <v>49</v>
      </c>
      <c r="G5" s="1">
        <f t="shared" si="0"/>
        <v>2255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11">
        <f>[1]Calcs!$C$6</f>
        <v>65</v>
      </c>
      <c r="C6" s="11">
        <f>[2]Calcs!$C$6</f>
        <v>314</v>
      </c>
      <c r="D6" s="11">
        <f>[3]Calcs!$C$6</f>
        <v>2202</v>
      </c>
      <c r="E6" s="1">
        <v>512</v>
      </c>
      <c r="F6" s="8" t="s">
        <v>18</v>
      </c>
      <c r="G6" s="1">
        <f t="shared" si="0"/>
        <v>2581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11">
        <f>[1]Calcs!$C$7</f>
        <v>103</v>
      </c>
      <c r="C7" s="11">
        <f>[2]Calcs!$C$7</f>
        <v>398</v>
      </c>
      <c r="D7" s="11">
        <f>[3]Calcs!$C$7</f>
        <v>4745</v>
      </c>
      <c r="E7" s="1">
        <v>512</v>
      </c>
      <c r="F7" s="8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11">
        <f>[1]Calcs!$C$8</f>
        <v>21</v>
      </c>
      <c r="C8" s="11">
        <f>[2]Calcs!$C$8</f>
        <v>68</v>
      </c>
      <c r="D8" s="11">
        <f>[3]Calcs!$C$8</f>
        <v>774</v>
      </c>
      <c r="E8" s="1">
        <v>512</v>
      </c>
      <c r="F8" s="8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9"/>
    </row>
    <row r="9" spans="1:16" x14ac:dyDescent="0.2">
      <c r="A9" s="1" t="s">
        <v>44</v>
      </c>
      <c r="B9" s="11">
        <f>[1]Calcs!$C$9</f>
        <v>777</v>
      </c>
      <c r="C9" s="11">
        <f>[2]Calcs!$C$9</f>
        <v>204</v>
      </c>
      <c r="D9" s="11">
        <f>[3]Calcs!$C$9</f>
        <v>8649.67</v>
      </c>
      <c r="E9" s="1">
        <v>516</v>
      </c>
      <c r="F9" s="8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11">
        <f>[1]Calcs!$C$11</f>
        <v>27.666666666666668</v>
      </c>
      <c r="C10" s="11">
        <f>[2]Calcs!$C$11</f>
        <v>84</v>
      </c>
      <c r="D10" s="1">
        <f>[3]Calcs!$C$11</f>
        <v>994.44444444444446</v>
      </c>
      <c r="E10" s="1">
        <v>518</v>
      </c>
      <c r="F10" s="8" t="s">
        <v>26</v>
      </c>
      <c r="G10" s="1">
        <f t="shared" si="0"/>
        <v>1106.1111111111111</v>
      </c>
      <c r="H10" s="1" t="s">
        <v>10</v>
      </c>
      <c r="I10" s="42" t="s">
        <v>59</v>
      </c>
      <c r="J10" s="1"/>
      <c r="L10" s="2" t="s">
        <v>60</v>
      </c>
    </row>
    <row r="11" spans="1:16" x14ac:dyDescent="0.2">
      <c r="A11" s="1" t="s">
        <v>44</v>
      </c>
      <c r="B11" s="11">
        <f>[1]Calcs!$C$12</f>
        <v>48</v>
      </c>
      <c r="C11" s="11"/>
      <c r="E11" s="1">
        <v>524</v>
      </c>
      <c r="F11" s="8" t="s">
        <v>47</v>
      </c>
      <c r="G11" s="1">
        <f t="shared" si="0"/>
        <v>48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11"/>
      <c r="C12" s="11">
        <f>[2]Calcs!$C$12</f>
        <v>108</v>
      </c>
      <c r="D12" s="1">
        <f>[3]Calcs!$C$12</f>
        <v>668</v>
      </c>
      <c r="E12" s="1">
        <v>524</v>
      </c>
      <c r="F12" s="11">
        <v>94603</v>
      </c>
      <c r="G12" s="1">
        <f>SUM(A12:D12)</f>
        <v>776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11">
        <f>[1]Calcs!$C$13</f>
        <v>357</v>
      </c>
      <c r="C13" s="11">
        <f>[2]Calcs!$C$13</f>
        <v>1012</v>
      </c>
      <c r="D13" s="1">
        <f>[3]Calcs!$C$13</f>
        <v>6026</v>
      </c>
      <c r="E13" s="1">
        <v>601</v>
      </c>
      <c r="F13" s="11">
        <v>37501</v>
      </c>
      <c r="G13" s="1">
        <f t="shared" si="0"/>
        <v>7395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3" t="s">
        <v>44</v>
      </c>
      <c r="B14" s="41">
        <f>[1]Calcs!$C$14</f>
        <v>286.08999999999997</v>
      </c>
      <c r="C14" s="41">
        <f>[2]Calcs!$C$14</f>
        <v>505.07</v>
      </c>
      <c r="D14" s="43">
        <f>[3]Calcs!$C$14</f>
        <v>2</v>
      </c>
      <c r="E14" s="43">
        <v>611</v>
      </c>
      <c r="F14" s="44">
        <v>1100</v>
      </c>
      <c r="G14" s="43">
        <f>D14</f>
        <v>2</v>
      </c>
      <c r="H14" s="43" t="s">
        <v>10</v>
      </c>
      <c r="I14" s="42" t="s">
        <v>27</v>
      </c>
      <c r="J14" s="43"/>
      <c r="K14" s="45"/>
      <c r="L14" s="42" t="s">
        <v>34</v>
      </c>
    </row>
    <row r="15" spans="1:16" x14ac:dyDescent="0.2">
      <c r="A15" s="1" t="s">
        <v>44</v>
      </c>
      <c r="B15" s="1"/>
      <c r="C15" s="1"/>
      <c r="D15" s="1">
        <f>[3]Calcs!$C$16</f>
        <v>644</v>
      </c>
      <c r="E15" s="1" t="s">
        <v>7</v>
      </c>
      <c r="F15" s="10" t="s">
        <v>45</v>
      </c>
      <c r="G15" s="1">
        <f>SUM(A15:D15)</f>
        <v>644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 t="str">
        <f>[3]Calcs!$C$17</f>
        <v>LUMP</v>
      </c>
      <c r="E16" s="1" t="s">
        <v>7</v>
      </c>
      <c r="F16" s="10" t="s">
        <v>45</v>
      </c>
      <c r="G16" s="1">
        <f t="shared" si="0"/>
        <v>0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0</v>
      </c>
      <c r="E17" s="1" t="s">
        <v>7</v>
      </c>
      <c r="F17" s="10" t="s">
        <v>45</v>
      </c>
      <c r="G17" s="1">
        <f t="shared" si="0"/>
        <v>0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49169</v>
      </c>
      <c r="E18" s="1" t="s">
        <v>7</v>
      </c>
      <c r="F18" s="10" t="s">
        <v>45</v>
      </c>
      <c r="G18" s="1">
        <f t="shared" si="0"/>
        <v>49169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11">
        <f>[3]Calcs!$C$20</f>
        <v>11</v>
      </c>
      <c r="E19" s="1" t="s">
        <v>7</v>
      </c>
      <c r="F19" s="10" t="s">
        <v>45</v>
      </c>
      <c r="G19" s="1">
        <f t="shared" si="0"/>
        <v>11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11">
        <f>[1]Calcs!$C$15</f>
        <v>204</v>
      </c>
      <c r="C20" s="11">
        <f>[2]Calcs!$C$15</f>
        <v>453</v>
      </c>
      <c r="D20" s="11">
        <f>[3]Calcs!$C$21</f>
        <v>264</v>
      </c>
      <c r="E20" s="1" t="s">
        <v>7</v>
      </c>
      <c r="F20" s="3" t="s">
        <v>46</v>
      </c>
      <c r="G20" s="1">
        <f t="shared" si="0"/>
        <v>921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11">
        <f>[1]Calcs!$C$16</f>
        <v>0</v>
      </c>
      <c r="C21" s="11">
        <f>[2]Calcs!$C$16</f>
        <v>0</v>
      </c>
      <c r="D21" s="11">
        <f>[3]Calcs!$C$22</f>
        <v>243</v>
      </c>
      <c r="E21" s="1" t="s">
        <v>7</v>
      </c>
      <c r="F21" s="3" t="s">
        <v>46</v>
      </c>
      <c r="G21" s="1">
        <f t="shared" si="0"/>
        <v>243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2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5" t="s">
        <v>56</v>
      </c>
      <c r="E24" s="23"/>
      <c r="F24" s="24"/>
      <c r="G24" s="23"/>
      <c r="H24" s="23"/>
      <c r="I24" s="25"/>
      <c r="J24" s="23"/>
      <c r="L24" s="2"/>
    </row>
    <row r="25" spans="1:12" x14ac:dyDescent="0.2">
      <c r="E25" s="23"/>
      <c r="F25" s="24"/>
      <c r="G25" s="23"/>
      <c r="H25" s="23"/>
      <c r="I25" s="25"/>
      <c r="J25" s="23"/>
      <c r="L25" s="2"/>
    </row>
    <row r="27" spans="1:12" x14ac:dyDescent="0.2">
      <c r="E27" s="26"/>
      <c r="F27" s="23"/>
      <c r="G27" s="23"/>
      <c r="H27" s="23"/>
      <c r="I27" s="23"/>
    </row>
    <row r="28" spans="1:12" x14ac:dyDescent="0.2">
      <c r="E28" s="28"/>
      <c r="F28" s="25"/>
      <c r="G28" s="25"/>
      <c r="H28" s="29"/>
      <c r="I28" s="23"/>
    </row>
    <row r="29" spans="1:12" x14ac:dyDescent="0.2">
      <c r="E29" s="28"/>
      <c r="F29" s="25"/>
      <c r="G29" s="25"/>
      <c r="H29" s="30"/>
    </row>
    <row r="30" spans="1:12" x14ac:dyDescent="0.2">
      <c r="E30" s="28"/>
      <c r="F30" s="25"/>
      <c r="G30" s="25"/>
    </row>
    <row r="31" spans="1:12" x14ac:dyDescent="0.2">
      <c r="E31" s="31"/>
      <c r="F31" s="25"/>
    </row>
    <row r="33" spans="5:9" x14ac:dyDescent="0.2">
      <c r="E33" s="26"/>
    </row>
    <row r="35" spans="5:9" x14ac:dyDescent="0.2">
      <c r="E35" s="32"/>
      <c r="F35" s="30"/>
      <c r="G35" s="30"/>
    </row>
    <row r="36" spans="5:9" x14ac:dyDescent="0.2">
      <c r="E36" s="32"/>
      <c r="F36" s="30"/>
      <c r="G36" s="30"/>
    </row>
    <row r="37" spans="5:9" x14ac:dyDescent="0.2">
      <c r="E37" s="32"/>
      <c r="F37" s="30"/>
      <c r="G37" s="30"/>
    </row>
    <row r="38" spans="5:9" x14ac:dyDescent="0.2">
      <c r="E38" s="29"/>
      <c r="F38" s="30"/>
      <c r="G38" s="31"/>
      <c r="H38" s="30"/>
    </row>
    <row r="39" spans="5:9" x14ac:dyDescent="0.2">
      <c r="E39" s="29"/>
      <c r="F39" s="30"/>
      <c r="G39" s="31"/>
      <c r="H39" s="30"/>
    </row>
    <row r="41" spans="5:9" x14ac:dyDescent="0.2">
      <c r="E41" s="26"/>
    </row>
    <row r="43" spans="5:9" x14ac:dyDescent="0.2">
      <c r="E43" s="33"/>
      <c r="F43" s="30"/>
      <c r="G43" s="30"/>
    </row>
    <row r="44" spans="5:9" x14ac:dyDescent="0.2">
      <c r="E44" s="31"/>
      <c r="F44" s="30"/>
    </row>
    <row r="45" spans="5:9" x14ac:dyDescent="0.2">
      <c r="E45" s="26"/>
    </row>
    <row r="46" spans="5:9" x14ac:dyDescent="0.2">
      <c r="E46" s="29"/>
    </row>
    <row r="47" spans="5:9" x14ac:dyDescent="0.2">
      <c r="E47" s="29"/>
      <c r="G47" s="30"/>
      <c r="I47" s="30"/>
    </row>
    <row r="48" spans="5:9" x14ac:dyDescent="0.2">
      <c r="E48" s="29"/>
      <c r="G48" s="30"/>
      <c r="I48" s="30"/>
    </row>
    <row r="49" spans="5:9" x14ac:dyDescent="0.2">
      <c r="E49" s="12"/>
      <c r="F49" s="19"/>
      <c r="G49" s="19"/>
      <c r="H49" s="19"/>
      <c r="I49" s="19"/>
    </row>
    <row r="50" spans="5:9" x14ac:dyDescent="0.2">
      <c r="E50" s="12"/>
      <c r="F50" s="13"/>
      <c r="G50" s="14"/>
      <c r="H50" s="13"/>
      <c r="I50" s="15"/>
    </row>
    <row r="51" spans="5:9" x14ac:dyDescent="0.2">
      <c r="E51" s="15"/>
      <c r="F51" s="16"/>
      <c r="G51" s="14"/>
      <c r="H51" s="13"/>
      <c r="I51" s="15"/>
    </row>
    <row r="52" spans="5:9" x14ac:dyDescent="0.2">
      <c r="E52" s="12"/>
      <c r="F52" s="17"/>
      <c r="G52" s="14"/>
      <c r="H52" s="13"/>
      <c r="I52" s="18"/>
    </row>
    <row r="53" spans="5:9" x14ac:dyDescent="0.2">
      <c r="E53" s="12"/>
      <c r="F53" s="17"/>
      <c r="G53" s="14"/>
      <c r="H53" s="13"/>
      <c r="I53" s="18"/>
    </row>
    <row r="54" spans="5:9" x14ac:dyDescent="0.2">
      <c r="E54" s="18"/>
      <c r="F54" s="19"/>
      <c r="G54" s="21"/>
      <c r="H54" s="20"/>
      <c r="I54" s="15"/>
    </row>
    <row r="55" spans="5:9" x14ac:dyDescent="0.2">
      <c r="E55" s="18"/>
      <c r="F55" s="19"/>
      <c r="G55" s="14"/>
      <c r="H55" s="20"/>
      <c r="I55" s="15"/>
    </row>
    <row r="56" spans="5:9" x14ac:dyDescent="0.2">
      <c r="E56" s="12"/>
      <c r="F56" s="12"/>
      <c r="G56" s="12"/>
      <c r="H56" s="12"/>
      <c r="I56" s="12"/>
    </row>
    <row r="57" spans="5:9" x14ac:dyDescent="0.2">
      <c r="E57" s="12"/>
      <c r="F57" s="13"/>
      <c r="G57" s="14"/>
      <c r="H57" s="13"/>
      <c r="I57" s="15"/>
    </row>
    <row r="58" spans="5:9" x14ac:dyDescent="0.2">
      <c r="E58" s="15"/>
      <c r="F58" s="16"/>
      <c r="G58" s="14"/>
      <c r="H58" s="13"/>
      <c r="I58" s="15"/>
    </row>
    <row r="59" spans="5:9" x14ac:dyDescent="0.2">
      <c r="E59" s="12"/>
      <c r="F59" s="17"/>
      <c r="G59" s="14"/>
      <c r="H59" s="13"/>
      <c r="I59" s="18"/>
    </row>
    <row r="60" spans="5:9" x14ac:dyDescent="0.2">
      <c r="E60" s="18"/>
      <c r="F60" s="19"/>
      <c r="G60" s="21"/>
      <c r="H60" s="20"/>
      <c r="I60" s="15"/>
    </row>
    <row r="61" spans="5:9" x14ac:dyDescent="0.2">
      <c r="E61" s="18"/>
      <c r="F61" s="17"/>
      <c r="G61" s="14"/>
      <c r="H61" s="20"/>
      <c r="I61" s="15"/>
    </row>
    <row r="62" spans="5:9" x14ac:dyDescent="0.2">
      <c r="E62" s="12"/>
      <c r="F62" s="12"/>
      <c r="G62" s="12"/>
      <c r="H62" s="12"/>
      <c r="I62" s="12"/>
    </row>
    <row r="63" spans="5:9" x14ac:dyDescent="0.2">
      <c r="E63" s="12"/>
      <c r="F63" s="13"/>
      <c r="G63" s="14"/>
      <c r="H63" s="13"/>
      <c r="I63" s="15"/>
    </row>
    <row r="64" spans="5:9" x14ac:dyDescent="0.2">
      <c r="E64" s="15"/>
      <c r="F64" s="16"/>
      <c r="G64" s="14"/>
      <c r="H64" s="13"/>
      <c r="I64" s="15"/>
    </row>
    <row r="65" spans="5:9" x14ac:dyDescent="0.2">
      <c r="E65" s="12"/>
      <c r="F65" s="17"/>
      <c r="G65" s="14"/>
      <c r="H65" s="13"/>
      <c r="I65" s="18"/>
    </row>
    <row r="66" spans="5:9" x14ac:dyDescent="0.2">
      <c r="E66" s="12"/>
      <c r="F66" s="17"/>
      <c r="G66" s="14"/>
      <c r="H66" s="13"/>
      <c r="I66" s="18"/>
    </row>
    <row r="67" spans="5:9" x14ac:dyDescent="0.2">
      <c r="E67" s="18"/>
      <c r="F67" s="19"/>
      <c r="G67" s="21"/>
      <c r="H67" s="20"/>
      <c r="I67" s="15"/>
    </row>
    <row r="68" spans="5:9" x14ac:dyDescent="0.2">
      <c r="E68" s="29"/>
      <c r="G68" s="34"/>
      <c r="H68" s="20"/>
      <c r="I68" s="30"/>
    </row>
    <row r="69" spans="5:9" x14ac:dyDescent="0.2">
      <c r="E69" s="33"/>
      <c r="F69" s="30"/>
      <c r="G69" s="30"/>
    </row>
    <row r="70" spans="5:9" x14ac:dyDescent="0.2">
      <c r="E70" s="12"/>
      <c r="F70" s="12"/>
      <c r="G70" s="12"/>
      <c r="H70" s="12"/>
      <c r="I70" s="12"/>
    </row>
    <row r="71" spans="5:9" x14ac:dyDescent="0.2">
      <c r="E71" s="12"/>
      <c r="F71" s="13"/>
      <c r="G71" s="14"/>
      <c r="H71" s="13"/>
      <c r="I71" s="15"/>
    </row>
    <row r="72" spans="5:9" x14ac:dyDescent="0.2">
      <c r="E72" s="15"/>
      <c r="F72" s="16"/>
      <c r="G72" s="14"/>
      <c r="H72" s="13"/>
      <c r="I72" s="15"/>
    </row>
    <row r="73" spans="5:9" x14ac:dyDescent="0.2">
      <c r="E73" s="12"/>
      <c r="F73" s="17"/>
      <c r="G73" s="14"/>
      <c r="H73" s="13"/>
      <c r="I73" s="18"/>
    </row>
    <row r="74" spans="5:9" x14ac:dyDescent="0.2">
      <c r="E74" s="12"/>
      <c r="F74" s="17"/>
      <c r="G74" s="14"/>
      <c r="H74" s="13"/>
      <c r="I74" s="18"/>
    </row>
    <row r="75" spans="5:9" x14ac:dyDescent="0.2">
      <c r="E75" s="18"/>
      <c r="F75" s="19"/>
      <c r="G75" s="21"/>
      <c r="H75" s="20"/>
      <c r="I75" s="15"/>
    </row>
    <row r="76" spans="5:9" x14ac:dyDescent="0.2">
      <c r="E76" s="29"/>
      <c r="G76" s="34"/>
      <c r="H76" s="20"/>
      <c r="I76" s="3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2"/>
  <sheetViews>
    <sheetView zoomScaleNormal="100" workbookViewId="0">
      <selection activeCell="B26" sqref="B26:G26"/>
    </sheetView>
  </sheetViews>
  <sheetFormatPr defaultRowHeight="12.75" x14ac:dyDescent="0.2"/>
  <cols>
    <col min="1" max="1" width="10.140625" style="1" bestFit="1" customWidth="1"/>
    <col min="2" max="2" width="13.85546875" style="1" bestFit="1" customWidth="1"/>
    <col min="3" max="3" width="16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65"/>
      <c r="B1" s="150" t="s">
        <v>29</v>
      </c>
      <c r="C1" s="151"/>
      <c r="D1" s="151"/>
      <c r="E1" s="151"/>
      <c r="F1" s="152"/>
      <c r="G1" s="156" t="s">
        <v>30</v>
      </c>
    </row>
    <row r="2" spans="1:7" ht="12.75" customHeight="1" thickBot="1" x14ac:dyDescent="0.25">
      <c r="A2" s="66"/>
      <c r="B2" s="153"/>
      <c r="C2" s="154"/>
      <c r="D2" s="154"/>
      <c r="E2" s="154"/>
      <c r="F2" s="155"/>
      <c r="G2" s="157"/>
    </row>
    <row r="3" spans="1:7" ht="12.75" customHeight="1" x14ac:dyDescent="0.2">
      <c r="A3" s="171"/>
      <c r="B3" s="163" t="s">
        <v>0</v>
      </c>
      <c r="C3" s="173" t="s">
        <v>4</v>
      </c>
      <c r="D3" s="175" t="s">
        <v>1</v>
      </c>
      <c r="E3" s="176" t="s">
        <v>2</v>
      </c>
      <c r="F3" s="159" t="s">
        <v>3</v>
      </c>
      <c r="G3" s="157"/>
    </row>
    <row r="4" spans="1:7" ht="24" customHeight="1" thickBot="1" x14ac:dyDescent="0.25">
      <c r="A4" s="172"/>
      <c r="B4" s="160"/>
      <c r="C4" s="174"/>
      <c r="D4" s="172"/>
      <c r="E4" s="174"/>
      <c r="F4" s="160"/>
      <c r="G4" s="158"/>
    </row>
    <row r="5" spans="1:7" x14ac:dyDescent="0.2">
      <c r="A5" s="124"/>
      <c r="B5" s="124">
        <v>203</v>
      </c>
      <c r="C5" s="125">
        <v>20000</v>
      </c>
      <c r="D5" s="126">
        <f>C29</f>
        <v>1523</v>
      </c>
      <c r="E5" s="127" t="s">
        <v>6</v>
      </c>
      <c r="F5" s="128" t="s">
        <v>62</v>
      </c>
      <c r="G5" s="129"/>
    </row>
    <row r="6" spans="1:7" x14ac:dyDescent="0.2">
      <c r="A6" s="124">
        <f>C54</f>
        <v>1229</v>
      </c>
      <c r="B6" s="124">
        <v>203</v>
      </c>
      <c r="C6" s="130">
        <v>35110</v>
      </c>
      <c r="D6" s="126">
        <f>C54</f>
        <v>1229</v>
      </c>
      <c r="E6" s="127" t="s">
        <v>6</v>
      </c>
      <c r="F6" s="128" t="s">
        <v>63</v>
      </c>
      <c r="G6" s="129"/>
    </row>
    <row r="7" spans="1:7" s="23" customFormat="1" x14ac:dyDescent="0.2">
      <c r="A7" s="124"/>
      <c r="B7" s="124"/>
      <c r="C7" s="130"/>
      <c r="D7" s="126"/>
      <c r="E7" s="131"/>
      <c r="F7" s="128"/>
      <c r="G7" s="129"/>
    </row>
    <row r="8" spans="1:7" x14ac:dyDescent="0.2">
      <c r="A8" s="124"/>
      <c r="B8" s="132">
        <v>503</v>
      </c>
      <c r="C8" s="130">
        <v>11101</v>
      </c>
      <c r="D8" s="126" t="s">
        <v>75</v>
      </c>
      <c r="E8" s="127" t="s">
        <v>75</v>
      </c>
      <c r="F8" s="128" t="s">
        <v>105</v>
      </c>
      <c r="G8" s="129"/>
    </row>
    <row r="9" spans="1:7" x14ac:dyDescent="0.2">
      <c r="A9" s="132">
        <f>C172</f>
        <v>3766</v>
      </c>
      <c r="B9" s="132">
        <v>509</v>
      </c>
      <c r="C9" s="129">
        <v>10001</v>
      </c>
      <c r="D9" s="126">
        <f>C172</f>
        <v>3766</v>
      </c>
      <c r="E9" s="127" t="s">
        <v>16</v>
      </c>
      <c r="F9" s="128" t="s">
        <v>155</v>
      </c>
      <c r="G9" s="129"/>
    </row>
    <row r="10" spans="1:7" ht="12.75" customHeight="1" x14ac:dyDescent="0.2">
      <c r="A10" s="133">
        <f>C165</f>
        <v>24</v>
      </c>
      <c r="B10" s="133">
        <f>IF(VOID!E5=0, "", VOID!E5)</f>
        <v>511</v>
      </c>
      <c r="C10" s="134">
        <v>53012</v>
      </c>
      <c r="D10" s="126">
        <f>C165</f>
        <v>24</v>
      </c>
      <c r="E10" s="135" t="str">
        <f>IF(VOID!H5=0, "", VOID!H5)</f>
        <v>CU YD</v>
      </c>
      <c r="F10" s="136" t="s">
        <v>98</v>
      </c>
      <c r="G10" s="137"/>
    </row>
    <row r="11" spans="1:7" x14ac:dyDescent="0.2">
      <c r="A11" s="133"/>
      <c r="B11" s="133"/>
      <c r="C11" s="134"/>
      <c r="D11" s="126"/>
      <c r="E11" s="138"/>
      <c r="F11" s="136"/>
      <c r="G11" s="137"/>
    </row>
    <row r="12" spans="1:7" x14ac:dyDescent="0.2">
      <c r="A12" s="133"/>
      <c r="B12" s="133">
        <f>IF(VOID!E6=0, "", VOID!E6)</f>
        <v>512</v>
      </c>
      <c r="C12" s="134">
        <v>10001</v>
      </c>
      <c r="D12" s="126">
        <f>C72</f>
        <v>41</v>
      </c>
      <c r="E12" s="135" t="str">
        <f>IF(VOID!H6=0, "", VOID!H6)</f>
        <v>SQ YD</v>
      </c>
      <c r="F12" s="136" t="s">
        <v>77</v>
      </c>
      <c r="G12" s="137"/>
    </row>
    <row r="13" spans="1:7" ht="12.75" customHeight="1" x14ac:dyDescent="0.2">
      <c r="A13" s="133">
        <f>C85</f>
        <v>500</v>
      </c>
      <c r="B13" s="133">
        <f>IF(VOID!E7=0, "", VOID!E7)</f>
        <v>512</v>
      </c>
      <c r="C13" s="134">
        <v>10100</v>
      </c>
      <c r="D13" s="126">
        <f>C85</f>
        <v>500</v>
      </c>
      <c r="E13" s="135" t="str">
        <f>IF(VOID!H7=0, "", VOID!H7)</f>
        <v>SQ YD</v>
      </c>
      <c r="F13" s="136" t="s">
        <v>78</v>
      </c>
      <c r="G13" s="137"/>
    </row>
    <row r="14" spans="1:7" ht="12.75" customHeight="1" x14ac:dyDescent="0.2">
      <c r="A14" s="139"/>
      <c r="B14" s="139">
        <v>516</v>
      </c>
      <c r="C14" s="137">
        <v>13200</v>
      </c>
      <c r="D14" s="126">
        <f>C176</f>
        <v>70</v>
      </c>
      <c r="E14" s="138" t="s">
        <v>11</v>
      </c>
      <c r="F14" s="136" t="s">
        <v>99</v>
      </c>
      <c r="G14" s="137"/>
    </row>
    <row r="15" spans="1:7" ht="12.75" customHeight="1" x14ac:dyDescent="0.2">
      <c r="A15" s="139"/>
      <c r="B15" s="139">
        <v>516</v>
      </c>
      <c r="C15" s="137">
        <v>13900</v>
      </c>
      <c r="D15" s="126">
        <f>C183</f>
        <v>195</v>
      </c>
      <c r="E15" s="138" t="s">
        <v>11</v>
      </c>
      <c r="F15" s="136" t="s">
        <v>101</v>
      </c>
      <c r="G15" s="137"/>
    </row>
    <row r="16" spans="1:7" ht="12.75" customHeight="1" x14ac:dyDescent="0.2">
      <c r="A16" s="139"/>
      <c r="B16" s="139"/>
      <c r="C16" s="137"/>
      <c r="D16" s="126"/>
      <c r="E16" s="138"/>
      <c r="F16" s="136"/>
      <c r="G16" s="137"/>
    </row>
    <row r="17" spans="1:7" ht="12.75" customHeight="1" x14ac:dyDescent="0.2">
      <c r="A17" s="133">
        <f>C104</f>
        <v>5574</v>
      </c>
      <c r="B17" s="133">
        <v>840</v>
      </c>
      <c r="C17" s="134">
        <v>20001</v>
      </c>
      <c r="D17" s="126">
        <f>C104</f>
        <v>5574</v>
      </c>
      <c r="E17" s="138" t="s">
        <v>11</v>
      </c>
      <c r="F17" s="136" t="s">
        <v>67</v>
      </c>
      <c r="G17" s="137"/>
    </row>
    <row r="18" spans="1:7" ht="12.75" customHeight="1" x14ac:dyDescent="0.2">
      <c r="A18" s="139">
        <f>C108</f>
        <v>2754</v>
      </c>
      <c r="B18" s="133">
        <v>840</v>
      </c>
      <c r="C18" s="134">
        <v>21000</v>
      </c>
      <c r="D18" s="126">
        <f>C108</f>
        <v>2754</v>
      </c>
      <c r="E18" s="138" t="s">
        <v>6</v>
      </c>
      <c r="F18" s="136" t="s">
        <v>68</v>
      </c>
      <c r="G18" s="134"/>
    </row>
    <row r="19" spans="1:7" ht="12.75" customHeight="1" x14ac:dyDescent="0.2">
      <c r="A19" s="139"/>
      <c r="B19" s="133">
        <v>840</v>
      </c>
      <c r="C19" s="134">
        <v>22000</v>
      </c>
      <c r="D19" s="126">
        <f>C131</f>
        <v>502</v>
      </c>
      <c r="E19" s="138" t="s">
        <v>9</v>
      </c>
      <c r="F19" s="136" t="s">
        <v>69</v>
      </c>
      <c r="G19" s="134"/>
    </row>
    <row r="20" spans="1:7" ht="12.75" customHeight="1" x14ac:dyDescent="0.2">
      <c r="A20" s="133">
        <f>C136</f>
        <v>13143</v>
      </c>
      <c r="B20" s="133">
        <v>840</v>
      </c>
      <c r="C20" s="134">
        <v>23000</v>
      </c>
      <c r="D20" s="126">
        <f>C136</f>
        <v>13143</v>
      </c>
      <c r="E20" s="138" t="s">
        <v>6</v>
      </c>
      <c r="F20" s="136" t="s">
        <v>70</v>
      </c>
      <c r="G20" s="137"/>
    </row>
    <row r="21" spans="1:7" ht="12.75" customHeight="1" x14ac:dyDescent="0.2">
      <c r="A21" s="133">
        <f>C148</f>
        <v>334</v>
      </c>
      <c r="B21" s="133">
        <v>840</v>
      </c>
      <c r="C21" s="134">
        <v>25010</v>
      </c>
      <c r="D21" s="126">
        <f>C148</f>
        <v>334</v>
      </c>
      <c r="E21" s="138" t="s">
        <v>10</v>
      </c>
      <c r="F21" s="136" t="s">
        <v>71</v>
      </c>
      <c r="G21" s="137"/>
    </row>
    <row r="22" spans="1:7" ht="12.75" customHeight="1" x14ac:dyDescent="0.2">
      <c r="A22" s="133"/>
      <c r="B22" s="133"/>
      <c r="C22" s="134"/>
      <c r="D22" s="126"/>
      <c r="E22" s="138"/>
      <c r="F22" s="136"/>
      <c r="G22" s="137"/>
    </row>
    <row r="23" spans="1:7" ht="12.75" customHeight="1" x14ac:dyDescent="0.2">
      <c r="A23" s="133">
        <f>C156</f>
        <v>169</v>
      </c>
      <c r="B23" s="133">
        <v>840</v>
      </c>
      <c r="C23" s="134">
        <v>26000</v>
      </c>
      <c r="D23" s="126">
        <f>C156</f>
        <v>169</v>
      </c>
      <c r="E23" s="138" t="s">
        <v>10</v>
      </c>
      <c r="F23" s="136" t="s">
        <v>72</v>
      </c>
      <c r="G23" s="134"/>
    </row>
    <row r="24" spans="1:7" ht="12.75" customHeight="1" x14ac:dyDescent="0.2">
      <c r="A24" s="133">
        <f>C160</f>
        <v>5263</v>
      </c>
      <c r="B24" s="133">
        <v>840</v>
      </c>
      <c r="C24" s="134">
        <v>26050</v>
      </c>
      <c r="D24" s="126">
        <f>C160</f>
        <v>5263</v>
      </c>
      <c r="E24" s="138" t="s">
        <v>11</v>
      </c>
      <c r="F24" s="136" t="s">
        <v>76</v>
      </c>
      <c r="G24" s="134"/>
    </row>
    <row r="25" spans="1:7" ht="12.75" customHeight="1" x14ac:dyDescent="0.2">
      <c r="A25" s="133">
        <v>5</v>
      </c>
      <c r="B25" s="133">
        <v>840</v>
      </c>
      <c r="C25" s="134">
        <v>27000</v>
      </c>
      <c r="D25" s="133">
        <v>5</v>
      </c>
      <c r="E25" s="138" t="s">
        <v>73</v>
      </c>
      <c r="F25" s="136" t="s">
        <v>74</v>
      </c>
      <c r="G25" s="134"/>
    </row>
    <row r="26" spans="1:7" ht="12.75" customHeight="1" thickBot="1" x14ac:dyDescent="0.25">
      <c r="A26" s="140"/>
      <c r="B26" s="177">
        <v>840</v>
      </c>
      <c r="C26" s="178">
        <v>28000</v>
      </c>
      <c r="D26" s="179" t="s">
        <v>75</v>
      </c>
      <c r="E26" s="180" t="s">
        <v>75</v>
      </c>
      <c r="F26" s="181" t="s">
        <v>104</v>
      </c>
      <c r="G26" s="178"/>
    </row>
    <row r="29" spans="1:7" x14ac:dyDescent="0.2">
      <c r="A29" s="52">
        <v>203</v>
      </c>
      <c r="B29" s="52">
        <v>20000</v>
      </c>
      <c r="C29" s="52">
        <f>ROUNDUP(C52/27,)</f>
        <v>1523</v>
      </c>
      <c r="D29" s="53" t="s">
        <v>6</v>
      </c>
      <c r="E29" s="52"/>
      <c r="F29" s="56" t="s">
        <v>62</v>
      </c>
      <c r="G29" s="1" t="s">
        <v>58</v>
      </c>
    </row>
    <row r="31" spans="1:7" ht="15" x14ac:dyDescent="0.25">
      <c r="C31" s="106">
        <f>0.5*1</f>
        <v>0.5</v>
      </c>
      <c r="D31" s="107" t="s">
        <v>11</v>
      </c>
      <c r="E31" s="108"/>
      <c r="F31" s="109" t="s">
        <v>128</v>
      </c>
    </row>
    <row r="32" spans="1:7" ht="15" x14ac:dyDescent="0.25">
      <c r="C32" s="110">
        <f>90312.2-90156.27</f>
        <v>155.92999999999302</v>
      </c>
      <c r="D32" s="107" t="s">
        <v>10</v>
      </c>
      <c r="E32" s="108"/>
      <c r="F32" s="109" t="s">
        <v>129</v>
      </c>
    </row>
    <row r="33" spans="3:6" ht="15" x14ac:dyDescent="0.25">
      <c r="C33" s="111">
        <f>C31*C32</f>
        <v>77.964999999996508</v>
      </c>
      <c r="D33" s="107" t="s">
        <v>82</v>
      </c>
      <c r="E33" s="108"/>
      <c r="F33" s="109" t="s">
        <v>133</v>
      </c>
    </row>
    <row r="34" spans="3:6" ht="15" x14ac:dyDescent="0.25">
      <c r="C34" s="111"/>
      <c r="D34" s="107"/>
      <c r="E34" s="108"/>
      <c r="F34" s="109"/>
    </row>
    <row r="35" spans="3:6" ht="15" x14ac:dyDescent="0.25">
      <c r="C35" s="106">
        <v>244.9</v>
      </c>
      <c r="D35" s="107" t="s">
        <v>11</v>
      </c>
      <c r="E35" s="108"/>
      <c r="F35" s="109" t="s">
        <v>131</v>
      </c>
    </row>
    <row r="36" spans="3:6" ht="15" x14ac:dyDescent="0.25">
      <c r="C36" s="110">
        <f>C32</f>
        <v>155.92999999999302</v>
      </c>
      <c r="D36" s="107" t="s">
        <v>10</v>
      </c>
      <c r="E36" s="108"/>
      <c r="F36" s="109" t="s">
        <v>129</v>
      </c>
    </row>
    <row r="37" spans="3:6" ht="15" x14ac:dyDescent="0.25">
      <c r="C37" s="111">
        <f>C35/C36</f>
        <v>1.5705765407555377</v>
      </c>
      <c r="D37" s="107" t="s">
        <v>10</v>
      </c>
      <c r="E37" s="108"/>
      <c r="F37" s="109" t="s">
        <v>132</v>
      </c>
    </row>
    <row r="38" spans="3:6" ht="15" x14ac:dyDescent="0.25">
      <c r="C38" s="106">
        <v>1613.54</v>
      </c>
      <c r="D38" s="107" t="s">
        <v>11</v>
      </c>
      <c r="E38" s="108"/>
      <c r="F38" s="109" t="s">
        <v>130</v>
      </c>
    </row>
    <row r="39" spans="3:6" ht="15" x14ac:dyDescent="0.25">
      <c r="C39" s="110">
        <f>C38*C37</f>
        <v>2534.1880715706902</v>
      </c>
      <c r="D39" s="115" t="s">
        <v>82</v>
      </c>
      <c r="E39" s="116"/>
      <c r="F39" s="117" t="s">
        <v>134</v>
      </c>
    </row>
    <row r="40" spans="3:6" ht="15" x14ac:dyDescent="0.25">
      <c r="C40" s="110"/>
      <c r="D40" s="115"/>
      <c r="E40" s="116"/>
      <c r="F40" s="117"/>
    </row>
    <row r="41" spans="3:6" ht="15" x14ac:dyDescent="0.25">
      <c r="C41" s="110">
        <v>122.63</v>
      </c>
      <c r="D41" s="115" t="s">
        <v>11</v>
      </c>
      <c r="E41" s="116"/>
      <c r="F41" s="118" t="s">
        <v>141</v>
      </c>
    </row>
    <row r="42" spans="3:6" ht="15" x14ac:dyDescent="0.25">
      <c r="C42" s="110">
        <v>73</v>
      </c>
      <c r="D42" s="115" t="s">
        <v>10</v>
      </c>
      <c r="E42" s="116"/>
      <c r="F42" s="117" t="s">
        <v>121</v>
      </c>
    </row>
    <row r="43" spans="3:6" ht="15" x14ac:dyDescent="0.25">
      <c r="C43" s="110">
        <f>C41*C42</f>
        <v>8951.99</v>
      </c>
      <c r="D43" s="115" t="s">
        <v>82</v>
      </c>
      <c r="E43" s="116"/>
      <c r="F43" s="117" t="s">
        <v>142</v>
      </c>
    </row>
    <row r="44" spans="3:6" ht="15" x14ac:dyDescent="0.25">
      <c r="C44" s="110"/>
      <c r="D44" s="115"/>
      <c r="E44" s="116"/>
      <c r="F44" s="117"/>
    </row>
    <row r="45" spans="3:6" ht="15" x14ac:dyDescent="0.25">
      <c r="C45" s="113">
        <v>1083.03</v>
      </c>
      <c r="D45" s="115" t="s">
        <v>94</v>
      </c>
      <c r="E45" s="116"/>
      <c r="F45" s="117" t="s">
        <v>152</v>
      </c>
    </row>
    <row r="46" spans="3:6" ht="15" x14ac:dyDescent="0.25">
      <c r="C46" s="106">
        <f>90312.2-90275.96</f>
        <v>36.239999999990687</v>
      </c>
      <c r="D46" s="107" t="s">
        <v>10</v>
      </c>
      <c r="E46" s="108"/>
      <c r="F46" s="109" t="s">
        <v>150</v>
      </c>
    </row>
    <row r="47" spans="3:6" ht="15" x14ac:dyDescent="0.25">
      <c r="C47" s="113">
        <f>C45/C46</f>
        <v>29.884933774842118</v>
      </c>
      <c r="D47" s="107" t="s">
        <v>10</v>
      </c>
      <c r="E47" s="108"/>
      <c r="F47" s="109" t="s">
        <v>151</v>
      </c>
    </row>
    <row r="48" spans="3:6" ht="15" x14ac:dyDescent="0.25">
      <c r="C48" s="106"/>
      <c r="D48" s="107"/>
      <c r="E48" s="108"/>
      <c r="F48" s="109"/>
    </row>
    <row r="49" spans="1:9" ht="15" x14ac:dyDescent="0.25">
      <c r="C49" s="111">
        <f>C122</f>
        <v>988.43</v>
      </c>
      <c r="D49" s="115" t="s">
        <v>11</v>
      </c>
      <c r="E49" s="116"/>
      <c r="F49" s="117" t="s">
        <v>153</v>
      </c>
    </row>
    <row r="50" spans="1:9" x14ac:dyDescent="0.2">
      <c r="C50" s="114">
        <f>C49*C47</f>
        <v>29539.165091067192</v>
      </c>
      <c r="D50" s="108"/>
      <c r="E50" s="108"/>
      <c r="F50" s="109" t="s">
        <v>154</v>
      </c>
    </row>
    <row r="51" spans="1:9" x14ac:dyDescent="0.2">
      <c r="C51" s="108"/>
      <c r="D51" s="108"/>
      <c r="E51" s="108"/>
      <c r="F51" s="108"/>
    </row>
    <row r="52" spans="1:9" x14ac:dyDescent="0.2">
      <c r="C52" s="112">
        <f>C33+C39+C43+C50</f>
        <v>41103.308162637877</v>
      </c>
      <c r="D52" s="107" t="s">
        <v>82</v>
      </c>
      <c r="E52" s="108"/>
      <c r="F52" s="109" t="s">
        <v>106</v>
      </c>
    </row>
    <row r="53" spans="1:9" x14ac:dyDescent="0.2">
      <c r="F53" s="2"/>
    </row>
    <row r="54" spans="1:9" x14ac:dyDescent="0.2">
      <c r="A54" s="52">
        <v>203</v>
      </c>
      <c r="B54" s="52">
        <v>35110</v>
      </c>
      <c r="C54" s="52">
        <f>ROUNDUP(C58/27,)</f>
        <v>1229</v>
      </c>
      <c r="D54" s="53" t="s">
        <v>6</v>
      </c>
      <c r="E54" s="52"/>
      <c r="F54" s="56" t="s">
        <v>63</v>
      </c>
      <c r="G54" s="1" t="s">
        <v>58</v>
      </c>
    </row>
    <row r="55" spans="1:9" x14ac:dyDescent="0.2">
      <c r="A55" s="23"/>
      <c r="B55" s="23"/>
      <c r="C55" s="23"/>
      <c r="D55" s="54"/>
      <c r="E55" s="23"/>
      <c r="F55" s="57"/>
    </row>
    <row r="56" spans="1:9" ht="15" customHeight="1" x14ac:dyDescent="0.25">
      <c r="A56" s="23"/>
      <c r="B56" s="23"/>
      <c r="C56" s="89">
        <v>3295</v>
      </c>
      <c r="D56" s="90" t="s">
        <v>11</v>
      </c>
      <c r="E56" s="87"/>
      <c r="F56" s="88" t="s">
        <v>140</v>
      </c>
      <c r="G56" s="170" t="s">
        <v>116</v>
      </c>
      <c r="H56" s="170"/>
      <c r="I56" s="170"/>
    </row>
    <row r="57" spans="1:9" ht="15" x14ac:dyDescent="0.25">
      <c r="A57" s="23"/>
      <c r="B57" s="23"/>
      <c r="C57" s="89">
        <f>758.82-1.5-747.25</f>
        <v>10.07000000000005</v>
      </c>
      <c r="D57" s="90" t="s">
        <v>10</v>
      </c>
      <c r="E57" s="87"/>
      <c r="F57" s="88" t="s">
        <v>115</v>
      </c>
      <c r="G57" s="170"/>
      <c r="H57" s="170"/>
      <c r="I57" s="170"/>
    </row>
    <row r="58" spans="1:9" ht="15" x14ac:dyDescent="0.25">
      <c r="A58" s="23"/>
      <c r="B58" s="23"/>
      <c r="C58" s="89">
        <f>C56*C57</f>
        <v>33180.650000000162</v>
      </c>
      <c r="D58" s="90" t="s">
        <v>82</v>
      </c>
      <c r="E58" s="87"/>
      <c r="F58" s="88" t="s">
        <v>143</v>
      </c>
      <c r="G58" s="170"/>
      <c r="H58" s="170"/>
      <c r="I58" s="170"/>
    </row>
    <row r="59" spans="1:9" x14ac:dyDescent="0.2">
      <c r="A59" s="23"/>
      <c r="B59" s="23"/>
      <c r="C59" s="23"/>
      <c r="D59" s="23"/>
      <c r="E59" s="23"/>
      <c r="F59" s="25"/>
      <c r="G59" s="170"/>
      <c r="H59" s="170"/>
      <c r="I59" s="170"/>
    </row>
    <row r="60" spans="1:9" x14ac:dyDescent="0.2">
      <c r="A60" s="23"/>
      <c r="B60" s="23"/>
      <c r="C60" s="23"/>
      <c r="D60" s="23"/>
      <c r="E60" s="23"/>
      <c r="F60" s="25"/>
    </row>
    <row r="61" spans="1:9" x14ac:dyDescent="0.2">
      <c r="A61" s="141">
        <v>203</v>
      </c>
      <c r="B61" s="141">
        <v>35120</v>
      </c>
      <c r="C61" s="141">
        <f>ROUNDUP(C66/27,)</f>
        <v>168</v>
      </c>
      <c r="D61" s="141" t="s">
        <v>6</v>
      </c>
      <c r="E61" s="141"/>
      <c r="F61" s="142" t="s">
        <v>81</v>
      </c>
      <c r="G61" s="1" t="s">
        <v>58</v>
      </c>
    </row>
    <row r="62" spans="1:9" x14ac:dyDescent="0.2">
      <c r="A62" s="143"/>
      <c r="B62" s="143"/>
      <c r="C62" s="143"/>
      <c r="D62" s="143"/>
      <c r="E62" s="143"/>
      <c r="F62" s="144"/>
    </row>
    <row r="63" spans="1:9" ht="15" x14ac:dyDescent="0.25">
      <c r="A63" s="143"/>
      <c r="B63" s="143"/>
      <c r="C63" s="145">
        <f>C134</f>
        <v>4510</v>
      </c>
      <c r="D63" s="146" t="s">
        <v>11</v>
      </c>
      <c r="E63" s="146"/>
      <c r="F63" s="147" t="s">
        <v>107</v>
      </c>
    </row>
    <row r="64" spans="1:9" ht="15" x14ac:dyDescent="0.25">
      <c r="A64" s="143"/>
      <c r="B64" s="143"/>
      <c r="C64" s="145">
        <v>1</v>
      </c>
      <c r="D64" s="146" t="s">
        <v>10</v>
      </c>
      <c r="E64" s="146"/>
      <c r="F64" s="147" t="s">
        <v>108</v>
      </c>
    </row>
    <row r="65" spans="1:7" s="23" customFormat="1" ht="15" x14ac:dyDescent="0.25">
      <c r="A65" s="148"/>
      <c r="B65" s="148"/>
      <c r="C65" s="145"/>
      <c r="D65" s="146"/>
      <c r="E65" s="146"/>
      <c r="F65" s="147"/>
    </row>
    <row r="66" spans="1:7" x14ac:dyDescent="0.2">
      <c r="A66" s="143"/>
      <c r="B66" s="143"/>
      <c r="C66" s="149">
        <f>C63*C64</f>
        <v>4510</v>
      </c>
      <c r="D66" s="146" t="s">
        <v>82</v>
      </c>
      <c r="E66" s="146"/>
      <c r="F66" s="147" t="s">
        <v>106</v>
      </c>
    </row>
    <row r="67" spans="1:7" x14ac:dyDescent="0.2">
      <c r="C67" s="23"/>
      <c r="D67" s="54"/>
      <c r="E67" s="23"/>
      <c r="F67" s="57"/>
    </row>
    <row r="68" spans="1:7" x14ac:dyDescent="0.2">
      <c r="A68" s="61">
        <v>203</v>
      </c>
      <c r="B68" s="59">
        <v>65000</v>
      </c>
      <c r="C68" s="59">
        <f>C69</f>
        <v>2</v>
      </c>
      <c r="D68" s="55" t="s">
        <v>37</v>
      </c>
      <c r="E68" s="60"/>
      <c r="F68" s="51" t="s">
        <v>65</v>
      </c>
      <c r="G68" s="1" t="s">
        <v>58</v>
      </c>
    </row>
    <row r="69" spans="1:7" ht="15" x14ac:dyDescent="0.25">
      <c r="C69" s="89">
        <v>2</v>
      </c>
      <c r="D69" s="90" t="s">
        <v>37</v>
      </c>
      <c r="E69" s="87"/>
      <c r="F69" s="88" t="s">
        <v>90</v>
      </c>
    </row>
    <row r="70" spans="1:7" x14ac:dyDescent="0.2">
      <c r="C70" s="87"/>
      <c r="D70" s="90"/>
      <c r="E70" s="87"/>
      <c r="F70" s="88"/>
    </row>
    <row r="71" spans="1:7" x14ac:dyDescent="0.2">
      <c r="F71" s="2"/>
    </row>
    <row r="72" spans="1:7" x14ac:dyDescent="0.2">
      <c r="A72" s="53">
        <v>512</v>
      </c>
      <c r="B72" s="53">
        <v>10001</v>
      </c>
      <c r="C72" s="53">
        <f>ROUNDUP(C83/9,)</f>
        <v>41</v>
      </c>
      <c r="D72" s="53" t="s">
        <v>9</v>
      </c>
      <c r="E72" s="53"/>
      <c r="F72" s="51" t="s">
        <v>77</v>
      </c>
    </row>
    <row r="73" spans="1:7" x14ac:dyDescent="0.2">
      <c r="A73" s="43"/>
      <c r="B73" s="43"/>
      <c r="C73" s="43"/>
      <c r="D73" s="43"/>
      <c r="E73" s="43"/>
      <c r="F73" s="42"/>
    </row>
    <row r="74" spans="1:7" x14ac:dyDescent="0.2">
      <c r="A74" s="43"/>
      <c r="B74" s="43"/>
      <c r="C74" s="90">
        <v>317.06</v>
      </c>
      <c r="D74" s="90" t="s">
        <v>11</v>
      </c>
      <c r="E74" s="90"/>
      <c r="F74" s="88" t="s">
        <v>122</v>
      </c>
    </row>
    <row r="75" spans="1:7" x14ac:dyDescent="0.2">
      <c r="A75" s="43"/>
      <c r="B75" s="43"/>
      <c r="C75" s="90"/>
      <c r="D75" s="90"/>
      <c r="E75" s="90"/>
      <c r="F75" s="88"/>
    </row>
    <row r="76" spans="1:7" ht="15" x14ac:dyDescent="0.25">
      <c r="A76" s="43"/>
      <c r="B76" s="43"/>
      <c r="C76" s="100">
        <v>8.3299999999999999E-2</v>
      </c>
      <c r="D76" s="90" t="s">
        <v>10</v>
      </c>
      <c r="E76" s="90"/>
      <c r="F76" s="88" t="s">
        <v>85</v>
      </c>
    </row>
    <row r="77" spans="1:7" ht="15" x14ac:dyDescent="0.25">
      <c r="A77" s="43"/>
      <c r="B77" s="43"/>
      <c r="C77" s="101">
        <f>C90</f>
        <v>168.74</v>
      </c>
      <c r="D77" s="90"/>
      <c r="E77" s="90"/>
      <c r="F77" s="88" t="s">
        <v>88</v>
      </c>
    </row>
    <row r="78" spans="1:7" ht="15" x14ac:dyDescent="0.25">
      <c r="A78" s="43"/>
      <c r="B78" s="43"/>
      <c r="C78" s="100">
        <v>0.5</v>
      </c>
      <c r="D78" s="90" t="s">
        <v>10</v>
      </c>
      <c r="E78" s="90"/>
      <c r="F78" s="88" t="s">
        <v>86</v>
      </c>
    </row>
    <row r="79" spans="1:7" ht="15" x14ac:dyDescent="0.25">
      <c r="A79" s="43"/>
      <c r="B79" s="43"/>
      <c r="C79" s="101">
        <f>C94</f>
        <v>73</v>
      </c>
      <c r="D79" s="90" t="s">
        <v>10</v>
      </c>
      <c r="E79" s="90"/>
      <c r="F79" s="88" t="s">
        <v>121</v>
      </c>
    </row>
    <row r="80" spans="1:7" x14ac:dyDescent="0.2">
      <c r="A80" s="43"/>
      <c r="B80" s="43"/>
      <c r="C80" s="90"/>
      <c r="D80" s="90"/>
      <c r="E80" s="90"/>
      <c r="F80" s="88"/>
    </row>
    <row r="81" spans="1:7" x14ac:dyDescent="0.2">
      <c r="A81" s="43"/>
      <c r="B81" s="43"/>
      <c r="C81" s="90">
        <f>C76*C77+C78*C79</f>
        <v>50.556042000000005</v>
      </c>
      <c r="D81" s="90" t="s">
        <v>11</v>
      </c>
      <c r="E81" s="90"/>
      <c r="F81" s="88" t="s">
        <v>123</v>
      </c>
    </row>
    <row r="82" spans="1:7" x14ac:dyDescent="0.2">
      <c r="A82" s="43"/>
      <c r="B82" s="43"/>
      <c r="C82" s="90"/>
      <c r="D82" s="90"/>
      <c r="E82" s="90"/>
      <c r="F82" s="88"/>
    </row>
    <row r="83" spans="1:7" x14ac:dyDescent="0.2">
      <c r="A83" s="43"/>
      <c r="B83" s="43"/>
      <c r="C83" s="90">
        <f>C74+C81</f>
        <v>367.61604199999999</v>
      </c>
      <c r="D83" s="90" t="s">
        <v>11</v>
      </c>
      <c r="E83" s="90"/>
      <c r="F83" s="88" t="s">
        <v>87</v>
      </c>
    </row>
    <row r="84" spans="1:7" x14ac:dyDescent="0.2">
      <c r="F84" s="2"/>
    </row>
    <row r="85" spans="1:7" x14ac:dyDescent="0.2">
      <c r="A85" s="52">
        <v>512</v>
      </c>
      <c r="B85" s="52">
        <v>10100</v>
      </c>
      <c r="C85" s="52">
        <f>ROUNDUP(C102/9,)</f>
        <v>500</v>
      </c>
      <c r="D85" s="52" t="s">
        <v>9</v>
      </c>
      <c r="E85" s="52"/>
      <c r="F85" s="51" t="s">
        <v>78</v>
      </c>
      <c r="G85" s="1" t="s">
        <v>58</v>
      </c>
    </row>
    <row r="86" spans="1:7" x14ac:dyDescent="0.2">
      <c r="F86" s="2"/>
    </row>
    <row r="87" spans="1:7" ht="15" x14ac:dyDescent="0.25">
      <c r="C87" s="92">
        <v>3960.38</v>
      </c>
      <c r="D87" s="87" t="s">
        <v>11</v>
      </c>
      <c r="E87" s="87"/>
      <c r="F87" s="88" t="s">
        <v>117</v>
      </c>
    </row>
    <row r="88" spans="1:7" x14ac:dyDescent="0.2">
      <c r="C88" s="91"/>
      <c r="D88" s="87"/>
      <c r="E88" s="87"/>
      <c r="F88" s="99"/>
    </row>
    <row r="89" spans="1:7" ht="15" x14ac:dyDescent="0.25">
      <c r="C89" s="92">
        <v>0.83</v>
      </c>
      <c r="D89" s="87" t="s">
        <v>10</v>
      </c>
      <c r="E89" s="87"/>
      <c r="F89" s="99" t="s">
        <v>85</v>
      </c>
    </row>
    <row r="90" spans="1:7" ht="15" x14ac:dyDescent="0.25">
      <c r="C90" s="92">
        <f>C158</f>
        <v>168.74</v>
      </c>
      <c r="D90" s="90" t="s">
        <v>10</v>
      </c>
      <c r="E90" s="87"/>
      <c r="F90" s="88" t="s">
        <v>88</v>
      </c>
    </row>
    <row r="91" spans="1:7" ht="15" x14ac:dyDescent="0.25">
      <c r="C91" s="92">
        <f>C89*C90</f>
        <v>140.05420000000001</v>
      </c>
      <c r="D91" s="90" t="s">
        <v>11</v>
      </c>
      <c r="E91" s="87"/>
      <c r="F91" s="88" t="s">
        <v>118</v>
      </c>
    </row>
    <row r="92" spans="1:7" ht="15" x14ac:dyDescent="0.25">
      <c r="C92" s="92"/>
      <c r="D92" s="90"/>
      <c r="E92" s="87"/>
      <c r="F92" s="88"/>
    </row>
    <row r="93" spans="1:7" ht="15" x14ac:dyDescent="0.25">
      <c r="C93" s="92">
        <v>0.5</v>
      </c>
      <c r="D93" s="87" t="s">
        <v>10</v>
      </c>
      <c r="E93" s="87"/>
      <c r="F93" s="99" t="s">
        <v>86</v>
      </c>
    </row>
    <row r="94" spans="1:7" ht="15" x14ac:dyDescent="0.25">
      <c r="C94" s="92">
        <f>C42</f>
        <v>73</v>
      </c>
      <c r="D94" s="90" t="s">
        <v>10</v>
      </c>
      <c r="E94" s="87"/>
      <c r="F94" s="88" t="s">
        <v>121</v>
      </c>
    </row>
    <row r="95" spans="1:7" ht="15" x14ac:dyDescent="0.25">
      <c r="C95" s="92">
        <f>C93*C94</f>
        <v>36.5</v>
      </c>
      <c r="D95" s="90" t="s">
        <v>11</v>
      </c>
      <c r="E95" s="87"/>
      <c r="F95" s="88" t="s">
        <v>118</v>
      </c>
    </row>
    <row r="96" spans="1:7" ht="15" x14ac:dyDescent="0.25">
      <c r="C96" s="92"/>
      <c r="D96" s="90"/>
      <c r="E96" s="87"/>
      <c r="F96" s="88"/>
    </row>
    <row r="97" spans="1:7" ht="15" x14ac:dyDescent="0.25">
      <c r="C97" s="92">
        <v>8</v>
      </c>
      <c r="D97" s="90" t="s">
        <v>10</v>
      </c>
      <c r="E97" s="87"/>
      <c r="F97" s="88" t="s">
        <v>119</v>
      </c>
    </row>
    <row r="98" spans="1:7" ht="15" x14ac:dyDescent="0.25">
      <c r="C98" s="92">
        <f>C167</f>
        <v>44.270000000004075</v>
      </c>
      <c r="D98" s="87" t="s">
        <v>10</v>
      </c>
      <c r="E98" s="87"/>
      <c r="F98" s="88" t="s">
        <v>120</v>
      </c>
    </row>
    <row r="99" spans="1:7" ht="15" x14ac:dyDescent="0.25">
      <c r="C99" s="92">
        <f>C98*C97</f>
        <v>354.1600000000326</v>
      </c>
      <c r="D99" s="87" t="s">
        <v>11</v>
      </c>
      <c r="E99" s="87"/>
      <c r="F99" s="88" t="s">
        <v>103</v>
      </c>
    </row>
    <row r="100" spans="1:7" x14ac:dyDescent="0.2">
      <c r="C100" s="91"/>
      <c r="D100" s="87"/>
      <c r="E100" s="87"/>
      <c r="F100" s="99"/>
    </row>
    <row r="101" spans="1:7" x14ac:dyDescent="0.2">
      <c r="C101" s="91"/>
      <c r="D101" s="87"/>
      <c r="E101" s="87"/>
      <c r="F101" s="99"/>
    </row>
    <row r="102" spans="1:7" x14ac:dyDescent="0.2">
      <c r="C102" s="91">
        <f>C87+C91+C95+C99</f>
        <v>4491.0942000000323</v>
      </c>
      <c r="D102" s="87" t="s">
        <v>11</v>
      </c>
      <c r="E102" s="87"/>
      <c r="F102" s="99" t="s">
        <v>87</v>
      </c>
    </row>
    <row r="103" spans="1:7" x14ac:dyDescent="0.2">
      <c r="F103" s="2"/>
    </row>
    <row r="104" spans="1:7" x14ac:dyDescent="0.2">
      <c r="A104" s="52">
        <v>840</v>
      </c>
      <c r="B104" s="52">
        <v>20001</v>
      </c>
      <c r="C104" s="52">
        <f>ROUNDUP(C106,)</f>
        <v>5574</v>
      </c>
      <c r="D104" s="52" t="s">
        <v>11</v>
      </c>
      <c r="E104" s="52"/>
      <c r="F104" s="51" t="s">
        <v>67</v>
      </c>
      <c r="G104" s="1" t="s">
        <v>58</v>
      </c>
    </row>
    <row r="105" spans="1:7" x14ac:dyDescent="0.2">
      <c r="F105" s="2"/>
    </row>
    <row r="106" spans="1:7" ht="15" x14ac:dyDescent="0.25">
      <c r="C106" s="89">
        <v>5573.92</v>
      </c>
      <c r="D106" s="98" t="s">
        <v>11</v>
      </c>
      <c r="E106" s="87"/>
      <c r="F106" s="88" t="s">
        <v>100</v>
      </c>
    </row>
    <row r="107" spans="1:7" x14ac:dyDescent="0.2">
      <c r="D107" s="43"/>
      <c r="F107" s="42"/>
    </row>
    <row r="108" spans="1:7" x14ac:dyDescent="0.2">
      <c r="A108" s="52">
        <v>840</v>
      </c>
      <c r="B108" s="52">
        <v>21000</v>
      </c>
      <c r="C108" s="52">
        <f>ROUNDUP(C129/27,)</f>
        <v>2754</v>
      </c>
      <c r="D108" s="52" t="s">
        <v>6</v>
      </c>
      <c r="E108" s="52"/>
      <c r="F108" s="58" t="s">
        <v>68</v>
      </c>
      <c r="G108" s="1" t="s">
        <v>58</v>
      </c>
    </row>
    <row r="109" spans="1:7" x14ac:dyDescent="0.2">
      <c r="F109" s="2"/>
    </row>
    <row r="110" spans="1:7" ht="15" x14ac:dyDescent="0.25">
      <c r="B110" s="168" t="s">
        <v>148</v>
      </c>
      <c r="C110" s="119">
        <v>1796</v>
      </c>
      <c r="D110" s="120" t="s">
        <v>11</v>
      </c>
      <c r="E110" s="120"/>
      <c r="F110" s="121" t="s">
        <v>124</v>
      </c>
    </row>
    <row r="111" spans="1:7" ht="15" x14ac:dyDescent="0.25">
      <c r="B111" s="169"/>
      <c r="C111" s="119">
        <f>156</f>
        <v>156</v>
      </c>
      <c r="D111" s="120" t="s">
        <v>10</v>
      </c>
      <c r="E111" s="120"/>
      <c r="F111" s="121" t="s">
        <v>125</v>
      </c>
    </row>
    <row r="112" spans="1:7" ht="15" x14ac:dyDescent="0.25">
      <c r="B112" s="169"/>
      <c r="C112" s="122">
        <f>C110/C111</f>
        <v>11.512820512820513</v>
      </c>
      <c r="D112" s="120" t="s">
        <v>82</v>
      </c>
      <c r="E112" s="120"/>
      <c r="F112" s="121" t="s">
        <v>126</v>
      </c>
    </row>
    <row r="113" spans="2:6" ht="15" x14ac:dyDescent="0.25">
      <c r="B113" s="169"/>
      <c r="C113" s="122"/>
      <c r="D113" s="120"/>
      <c r="E113" s="120"/>
      <c r="F113" s="121"/>
    </row>
    <row r="114" spans="2:6" ht="15" x14ac:dyDescent="0.25">
      <c r="B114" s="169"/>
      <c r="C114" s="119">
        <v>4510</v>
      </c>
      <c r="D114" s="120" t="s">
        <v>11</v>
      </c>
      <c r="E114" s="120"/>
      <c r="F114" s="121" t="s">
        <v>127</v>
      </c>
    </row>
    <row r="115" spans="2:6" x14ac:dyDescent="0.2">
      <c r="B115" s="169"/>
      <c r="C115" s="123">
        <f>C114*C112</f>
        <v>51922.820512820515</v>
      </c>
      <c r="D115" s="120" t="s">
        <v>82</v>
      </c>
      <c r="E115" s="120"/>
      <c r="F115" s="121" t="s">
        <v>84</v>
      </c>
    </row>
    <row r="116" spans="2:6" x14ac:dyDescent="0.2">
      <c r="C116" s="91"/>
      <c r="D116" s="90"/>
      <c r="E116" s="87"/>
      <c r="F116" s="88"/>
    </row>
    <row r="117" spans="2:6" x14ac:dyDescent="0.2">
      <c r="C117" s="91"/>
      <c r="D117" s="90"/>
      <c r="E117" s="87"/>
      <c r="F117" s="88"/>
    </row>
    <row r="118" spans="2:6" ht="15" x14ac:dyDescent="0.25">
      <c r="B118" s="168" t="s">
        <v>149</v>
      </c>
      <c r="C118" s="89">
        <v>346.71</v>
      </c>
      <c r="D118" s="90" t="s">
        <v>11</v>
      </c>
      <c r="E118" s="87"/>
      <c r="F118" s="88" t="s">
        <v>144</v>
      </c>
    </row>
    <row r="119" spans="2:6" ht="15" x14ac:dyDescent="0.25">
      <c r="B119" s="169"/>
      <c r="C119" s="89">
        <f>90312.2-90275.96</f>
        <v>36.239999999990687</v>
      </c>
      <c r="D119" s="90" t="s">
        <v>10</v>
      </c>
      <c r="E119" s="87"/>
      <c r="F119" s="88" t="s">
        <v>125</v>
      </c>
    </row>
    <row r="120" spans="2:6" ht="15" x14ac:dyDescent="0.25">
      <c r="B120" s="169"/>
      <c r="C120" s="102">
        <f>C118/C119</f>
        <v>9.5670529801349087</v>
      </c>
      <c r="D120" s="90" t="s">
        <v>82</v>
      </c>
      <c r="E120" s="87"/>
      <c r="F120" s="88" t="s">
        <v>126</v>
      </c>
    </row>
    <row r="121" spans="2:6" ht="15" x14ac:dyDescent="0.25">
      <c r="B121" s="169"/>
      <c r="C121" s="102"/>
      <c r="D121" s="90"/>
      <c r="E121" s="87"/>
      <c r="F121" s="88"/>
    </row>
    <row r="122" spans="2:6" ht="15" x14ac:dyDescent="0.25">
      <c r="B122" s="169"/>
      <c r="C122" s="89">
        <v>988.43</v>
      </c>
      <c r="D122" s="90" t="s">
        <v>11</v>
      </c>
      <c r="E122" s="87"/>
      <c r="F122" s="88" t="s">
        <v>145</v>
      </c>
    </row>
    <row r="123" spans="2:6" x14ac:dyDescent="0.2">
      <c r="B123" s="169"/>
      <c r="C123" s="91">
        <f>C122*C120</f>
        <v>9456.3621771547478</v>
      </c>
      <c r="D123" s="90" t="s">
        <v>82</v>
      </c>
      <c r="E123" s="87"/>
      <c r="F123" s="88" t="s">
        <v>83</v>
      </c>
    </row>
    <row r="124" spans="2:6" x14ac:dyDescent="0.2">
      <c r="B124" s="169"/>
      <c r="C124" s="91"/>
      <c r="D124" s="90"/>
      <c r="E124" s="87"/>
      <c r="F124" s="88"/>
    </row>
    <row r="125" spans="2:6" x14ac:dyDescent="0.2">
      <c r="B125" s="169"/>
      <c r="C125" s="91">
        <v>888.88</v>
      </c>
      <c r="D125" s="90" t="s">
        <v>11</v>
      </c>
      <c r="E125" s="87"/>
      <c r="F125" s="88" t="s">
        <v>146</v>
      </c>
    </row>
    <row r="126" spans="2:6" x14ac:dyDescent="0.2">
      <c r="B126" s="169"/>
      <c r="C126" s="91">
        <f>C42</f>
        <v>73</v>
      </c>
      <c r="D126" s="90" t="s">
        <v>10</v>
      </c>
      <c r="E126" s="87"/>
      <c r="F126" s="88" t="s">
        <v>147</v>
      </c>
    </row>
    <row r="127" spans="2:6" x14ac:dyDescent="0.2">
      <c r="B127" s="169"/>
      <c r="C127" s="91">
        <f>C126*C125</f>
        <v>64888.24</v>
      </c>
      <c r="D127" s="90" t="s">
        <v>82</v>
      </c>
      <c r="E127" s="87"/>
      <c r="F127" s="88" t="s">
        <v>83</v>
      </c>
    </row>
    <row r="128" spans="2:6" x14ac:dyDescent="0.2">
      <c r="B128" s="169"/>
      <c r="C128" s="91"/>
      <c r="D128" s="90"/>
      <c r="E128" s="87"/>
      <c r="F128" s="88"/>
    </row>
    <row r="129" spans="1:7" x14ac:dyDescent="0.2">
      <c r="B129" s="169"/>
      <c r="C129" s="91">
        <f>C127+C123</f>
        <v>74344.602177154738</v>
      </c>
      <c r="D129" s="90" t="s">
        <v>82</v>
      </c>
      <c r="E129" s="87"/>
      <c r="F129" s="88" t="s">
        <v>106</v>
      </c>
    </row>
    <row r="130" spans="1:7" x14ac:dyDescent="0.2">
      <c r="F130" s="2"/>
    </row>
    <row r="131" spans="1:7" x14ac:dyDescent="0.2">
      <c r="A131" s="103">
        <f>B19</f>
        <v>840</v>
      </c>
      <c r="B131" s="103">
        <f>C19</f>
        <v>22000</v>
      </c>
      <c r="C131" s="52">
        <f>ROUNDUP(C134/9,)</f>
        <v>502</v>
      </c>
      <c r="D131" s="103" t="str">
        <f>E19</f>
        <v>SQ YD</v>
      </c>
      <c r="E131" s="52"/>
      <c r="F131" s="104" t="str">
        <f>F19</f>
        <v>FOUNDATION PREPARATION</v>
      </c>
      <c r="G131" s="1" t="s">
        <v>58</v>
      </c>
    </row>
    <row r="132" spans="1:7" x14ac:dyDescent="0.2">
      <c r="F132" s="2"/>
    </row>
    <row r="133" spans="1:7" ht="15" x14ac:dyDescent="0.25">
      <c r="C133" s="105"/>
      <c r="D133" s="54"/>
      <c r="E133" s="23"/>
      <c r="F133" s="57"/>
    </row>
    <row r="134" spans="1:7" ht="15" x14ac:dyDescent="0.25">
      <c r="C134" s="89">
        <v>4510</v>
      </c>
      <c r="D134" s="90" t="s">
        <v>11</v>
      </c>
      <c r="E134" s="87"/>
      <c r="F134" s="88" t="s">
        <v>127</v>
      </c>
    </row>
    <row r="135" spans="1:7" x14ac:dyDescent="0.2">
      <c r="C135" s="28"/>
      <c r="D135" s="54"/>
      <c r="E135" s="23"/>
      <c r="F135" s="57"/>
    </row>
    <row r="136" spans="1:7" x14ac:dyDescent="0.2">
      <c r="A136" s="103">
        <f>B20</f>
        <v>840</v>
      </c>
      <c r="B136" s="103">
        <f>C20</f>
        <v>23000</v>
      </c>
      <c r="C136" s="52">
        <f>ROUNDUP(C146/9,)</f>
        <v>13143</v>
      </c>
      <c r="D136" s="103" t="str">
        <f>E20</f>
        <v>CU YD</v>
      </c>
      <c r="E136" s="52"/>
      <c r="F136" s="104" t="str">
        <f>F20</f>
        <v>SELECT GRANULAR BACKFILL</v>
      </c>
    </row>
    <row r="137" spans="1:7" x14ac:dyDescent="0.2">
      <c r="C137" s="28"/>
      <c r="D137" s="54"/>
      <c r="E137" s="23"/>
      <c r="F137" s="57"/>
    </row>
    <row r="138" spans="1:7" x14ac:dyDescent="0.2">
      <c r="C138" s="91">
        <v>3297.07</v>
      </c>
      <c r="D138" s="90" t="s">
        <v>11</v>
      </c>
      <c r="E138" s="87"/>
      <c r="F138" s="88" t="s">
        <v>136</v>
      </c>
    </row>
    <row r="139" spans="1:7" x14ac:dyDescent="0.2">
      <c r="C139" s="91">
        <f>(745.25-711)</f>
        <v>34.25</v>
      </c>
      <c r="D139" s="90" t="s">
        <v>10</v>
      </c>
      <c r="E139" s="87"/>
      <c r="F139" s="88" t="s">
        <v>135</v>
      </c>
    </row>
    <row r="140" spans="1:7" x14ac:dyDescent="0.2">
      <c r="C140" s="91">
        <f>C139*C138</f>
        <v>112924.64750000001</v>
      </c>
      <c r="D140" s="90" t="s">
        <v>82</v>
      </c>
      <c r="E140" s="87"/>
      <c r="F140" s="88" t="s">
        <v>83</v>
      </c>
    </row>
    <row r="141" spans="1:7" x14ac:dyDescent="0.2">
      <c r="C141" s="91"/>
      <c r="D141" s="90"/>
      <c r="E141" s="87"/>
      <c r="F141" s="88"/>
    </row>
    <row r="142" spans="1:7" x14ac:dyDescent="0.2">
      <c r="C142" s="91">
        <v>2679.26</v>
      </c>
      <c r="D142" s="90" t="s">
        <v>138</v>
      </c>
      <c r="E142" s="87"/>
      <c r="F142" s="88" t="s">
        <v>137</v>
      </c>
    </row>
    <row r="143" spans="1:7" x14ac:dyDescent="0.2">
      <c r="C143" s="91">
        <f>3-1</f>
        <v>2</v>
      </c>
      <c r="D143" s="90" t="s">
        <v>10</v>
      </c>
      <c r="E143" s="87"/>
      <c r="F143" s="88" t="s">
        <v>139</v>
      </c>
    </row>
    <row r="144" spans="1:7" x14ac:dyDescent="0.2">
      <c r="C144" s="91">
        <f>C142*C143</f>
        <v>5358.52</v>
      </c>
      <c r="D144" s="90" t="s">
        <v>82</v>
      </c>
      <c r="E144" s="87"/>
      <c r="F144" s="88" t="s">
        <v>83</v>
      </c>
    </row>
    <row r="145" spans="1:7" x14ac:dyDescent="0.2">
      <c r="C145" s="91"/>
      <c r="D145" s="90"/>
      <c r="E145" s="87"/>
      <c r="F145" s="88"/>
    </row>
    <row r="146" spans="1:7" x14ac:dyDescent="0.2">
      <c r="C146" s="91">
        <f>C144+C140</f>
        <v>118283.16750000001</v>
      </c>
      <c r="D146" s="90" t="s">
        <v>82</v>
      </c>
      <c r="E146" s="87"/>
      <c r="F146" s="88" t="s">
        <v>106</v>
      </c>
    </row>
    <row r="147" spans="1:7" x14ac:dyDescent="0.2">
      <c r="C147" s="28"/>
      <c r="D147" s="54"/>
      <c r="E147" s="23"/>
      <c r="F147" s="57"/>
    </row>
    <row r="148" spans="1:7" x14ac:dyDescent="0.2">
      <c r="A148" s="52">
        <v>840</v>
      </c>
      <c r="B148" s="52">
        <v>25010</v>
      </c>
      <c r="C148" s="52">
        <f>ROUNDUP(C153,)</f>
        <v>334</v>
      </c>
      <c r="D148" s="52" t="s">
        <v>10</v>
      </c>
      <c r="E148" s="52"/>
      <c r="F148" s="51" t="s">
        <v>71</v>
      </c>
      <c r="G148" s="1" t="s">
        <v>58</v>
      </c>
    </row>
    <row r="149" spans="1:7" x14ac:dyDescent="0.2">
      <c r="F149" s="2"/>
    </row>
    <row r="150" spans="1:7" ht="15" x14ac:dyDescent="0.25">
      <c r="C150" s="89">
        <f>71.53+28.88+54.93+19+45.5+46+43</f>
        <v>308.84000000000003</v>
      </c>
      <c r="D150" s="87" t="s">
        <v>10</v>
      </c>
      <c r="E150" s="87"/>
      <c r="F150" s="88" t="s">
        <v>112</v>
      </c>
    </row>
    <row r="151" spans="1:7" ht="15" x14ac:dyDescent="0.25">
      <c r="C151" s="89">
        <v>25</v>
      </c>
      <c r="D151" s="90" t="s">
        <v>10</v>
      </c>
      <c r="E151" s="87"/>
      <c r="F151" s="88" t="s">
        <v>92</v>
      </c>
    </row>
    <row r="152" spans="1:7" x14ac:dyDescent="0.2">
      <c r="C152" s="87"/>
      <c r="D152" s="90"/>
      <c r="E152" s="87"/>
      <c r="F152" s="88"/>
    </row>
    <row r="153" spans="1:7" x14ac:dyDescent="0.2">
      <c r="C153" s="87">
        <f>C151+C150</f>
        <v>333.84000000000003</v>
      </c>
      <c r="D153" s="90" t="s">
        <v>10</v>
      </c>
      <c r="E153" s="87"/>
      <c r="F153" s="88" t="s">
        <v>89</v>
      </c>
    </row>
    <row r="154" spans="1:7" x14ac:dyDescent="0.2">
      <c r="F154" s="2"/>
    </row>
    <row r="155" spans="1:7" x14ac:dyDescent="0.2">
      <c r="F155" s="2"/>
    </row>
    <row r="156" spans="1:7" x14ac:dyDescent="0.2">
      <c r="A156" s="59">
        <v>840</v>
      </c>
      <c r="B156" s="59">
        <v>26000</v>
      </c>
      <c r="C156" s="59">
        <f>ROUNDUP(C158,)</f>
        <v>169</v>
      </c>
      <c r="D156" s="55" t="s">
        <v>10</v>
      </c>
      <c r="E156" s="60"/>
      <c r="F156" s="51" t="s">
        <v>72</v>
      </c>
      <c r="G156" s="1" t="s">
        <v>58</v>
      </c>
    </row>
    <row r="157" spans="1:7" x14ac:dyDescent="0.2">
      <c r="F157" s="2"/>
    </row>
    <row r="158" spans="1:7" ht="15" x14ac:dyDescent="0.25">
      <c r="C158" s="89">
        <f>81.63+12.81+74.3</f>
        <v>168.74</v>
      </c>
      <c r="D158" s="87" t="s">
        <v>10</v>
      </c>
      <c r="E158" s="87"/>
      <c r="F158" s="88" t="s">
        <v>114</v>
      </c>
    </row>
    <row r="159" spans="1:7" x14ac:dyDescent="0.2">
      <c r="F159" s="2"/>
    </row>
    <row r="160" spans="1:7" x14ac:dyDescent="0.2">
      <c r="A160" s="59">
        <v>840</v>
      </c>
      <c r="B160" s="59">
        <v>26050</v>
      </c>
      <c r="C160" s="59">
        <f>ROUNDUP(C162,)</f>
        <v>5263</v>
      </c>
      <c r="D160" s="55" t="s">
        <v>11</v>
      </c>
      <c r="E160" s="60"/>
      <c r="F160" s="51" t="s">
        <v>76</v>
      </c>
      <c r="G160" s="1" t="s">
        <v>58</v>
      </c>
    </row>
    <row r="161" spans="1:7" x14ac:dyDescent="0.2">
      <c r="C161" s="23"/>
      <c r="D161" s="23"/>
      <c r="E161" s="23"/>
      <c r="F161" s="25"/>
    </row>
    <row r="162" spans="1:7" ht="15" x14ac:dyDescent="0.25">
      <c r="C162" s="89">
        <f>C106-2*(81.63+74.3)</f>
        <v>5262.06</v>
      </c>
      <c r="D162" s="90" t="s">
        <v>11</v>
      </c>
      <c r="E162" s="87"/>
      <c r="F162" s="88" t="s">
        <v>113</v>
      </c>
    </row>
    <row r="163" spans="1:7" x14ac:dyDescent="0.2">
      <c r="F163" s="2"/>
    </row>
    <row r="164" spans="1:7" x14ac:dyDescent="0.2">
      <c r="F164" s="2"/>
    </row>
    <row r="165" spans="1:7" x14ac:dyDescent="0.2">
      <c r="A165" s="59">
        <v>511</v>
      </c>
      <c r="B165" s="59">
        <v>53012</v>
      </c>
      <c r="C165" s="59">
        <f>ROUNDUP(C170/27,0)</f>
        <v>24</v>
      </c>
      <c r="D165" s="55" t="s">
        <v>6</v>
      </c>
      <c r="E165" s="60"/>
      <c r="F165" s="51" t="s">
        <v>98</v>
      </c>
      <c r="G165" s="1" t="s">
        <v>58</v>
      </c>
    </row>
    <row r="166" spans="1:7" x14ac:dyDescent="0.2">
      <c r="C166" s="23"/>
      <c r="D166" s="23"/>
      <c r="F166" s="2"/>
    </row>
    <row r="167" spans="1:7" ht="15" x14ac:dyDescent="0.25">
      <c r="C167" s="89">
        <f>90312.2-90267.93</f>
        <v>44.270000000004075</v>
      </c>
      <c r="D167" s="90" t="s">
        <v>10</v>
      </c>
      <c r="E167" s="87"/>
      <c r="F167" s="88" t="s">
        <v>111</v>
      </c>
    </row>
    <row r="168" spans="1:7" x14ac:dyDescent="0.2">
      <c r="C168" s="87">
        <v>14.406599999999999</v>
      </c>
      <c r="D168" s="90" t="s">
        <v>94</v>
      </c>
      <c r="E168" s="87"/>
      <c r="F168" s="88" t="s">
        <v>95</v>
      </c>
    </row>
    <row r="169" spans="1:7" x14ac:dyDescent="0.2">
      <c r="C169" s="87"/>
      <c r="D169" s="87"/>
      <c r="E169" s="87"/>
      <c r="F169" s="87"/>
    </row>
    <row r="170" spans="1:7" x14ac:dyDescent="0.2">
      <c r="C170" s="97">
        <f>C167*C168</f>
        <v>637.78018200005863</v>
      </c>
      <c r="D170" s="90" t="s">
        <v>82</v>
      </c>
      <c r="E170" s="87"/>
      <c r="F170" s="88" t="s">
        <v>83</v>
      </c>
    </row>
    <row r="172" spans="1:7" x14ac:dyDescent="0.2">
      <c r="A172" s="59">
        <v>209</v>
      </c>
      <c r="B172" s="59">
        <v>20000</v>
      </c>
      <c r="C172" s="59">
        <f>C174</f>
        <v>3766</v>
      </c>
      <c r="D172" s="55" t="s">
        <v>96</v>
      </c>
      <c r="E172" s="60"/>
      <c r="F172" s="51" t="s">
        <v>17</v>
      </c>
      <c r="G172" s="1" t="s">
        <v>58</v>
      </c>
    </row>
    <row r="173" spans="1:7" x14ac:dyDescent="0.2">
      <c r="F173" s="2"/>
    </row>
    <row r="174" spans="1:7" ht="15" x14ac:dyDescent="0.25">
      <c r="C174" s="89">
        <v>3766</v>
      </c>
      <c r="D174" s="90" t="s">
        <v>96</v>
      </c>
      <c r="E174" s="87"/>
      <c r="F174" s="88" t="s">
        <v>97</v>
      </c>
    </row>
    <row r="176" spans="1:7" x14ac:dyDescent="0.2">
      <c r="A176" s="72">
        <v>516</v>
      </c>
      <c r="B176" s="72">
        <v>13200</v>
      </c>
      <c r="C176" s="59">
        <f>ROUNDUP(C181,)</f>
        <v>70</v>
      </c>
      <c r="D176" s="72" t="s">
        <v>11</v>
      </c>
      <c r="E176" s="73"/>
      <c r="F176" s="74" t="s">
        <v>99</v>
      </c>
      <c r="G176" s="1" t="s">
        <v>58</v>
      </c>
    </row>
    <row r="178" spans="1:7" ht="15" x14ac:dyDescent="0.25">
      <c r="C178" s="89">
        <f>70*2</f>
        <v>140</v>
      </c>
      <c r="D178" s="93" t="s">
        <v>10</v>
      </c>
      <c r="E178" s="94"/>
      <c r="F178" s="95" t="s">
        <v>109</v>
      </c>
    </row>
    <row r="179" spans="1:7" ht="15" x14ac:dyDescent="0.25">
      <c r="C179" s="89">
        <v>0.5</v>
      </c>
      <c r="D179" s="93" t="s">
        <v>10</v>
      </c>
      <c r="E179" s="94"/>
      <c r="F179" s="95" t="s">
        <v>102</v>
      </c>
    </row>
    <row r="180" spans="1:7" ht="15" x14ac:dyDescent="0.25">
      <c r="C180" s="89"/>
      <c r="D180" s="93"/>
      <c r="E180" s="94"/>
      <c r="F180" s="95"/>
    </row>
    <row r="181" spans="1:7" ht="15" x14ac:dyDescent="0.25">
      <c r="C181" s="89">
        <f>C178*C179</f>
        <v>70</v>
      </c>
      <c r="D181" s="93" t="s">
        <v>11</v>
      </c>
      <c r="E181" s="94"/>
      <c r="F181" s="95" t="s">
        <v>103</v>
      </c>
    </row>
    <row r="183" spans="1:7" x14ac:dyDescent="0.2">
      <c r="A183" s="76">
        <v>516</v>
      </c>
      <c r="B183" s="76">
        <v>13900</v>
      </c>
      <c r="C183" s="59">
        <f>ROUNDUP(C188,)</f>
        <v>195</v>
      </c>
      <c r="D183" s="76" t="s">
        <v>11</v>
      </c>
      <c r="E183" s="77"/>
      <c r="F183" s="75" t="s">
        <v>101</v>
      </c>
      <c r="G183" s="1" t="s">
        <v>58</v>
      </c>
    </row>
    <row r="185" spans="1:7" ht="15" x14ac:dyDescent="0.25">
      <c r="C185" s="89">
        <f>84.08+13</f>
        <v>97.08</v>
      </c>
      <c r="D185" s="93" t="s">
        <v>10</v>
      </c>
      <c r="E185" s="94"/>
      <c r="F185" s="95" t="s">
        <v>110</v>
      </c>
    </row>
    <row r="186" spans="1:7" ht="15" x14ac:dyDescent="0.25">
      <c r="C186" s="89">
        <v>2</v>
      </c>
      <c r="D186" s="93" t="s">
        <v>10</v>
      </c>
      <c r="E186" s="94"/>
      <c r="F186" s="95" t="s">
        <v>102</v>
      </c>
    </row>
    <row r="187" spans="1:7" x14ac:dyDescent="0.2">
      <c r="C187" s="87"/>
      <c r="D187" s="87"/>
      <c r="E187" s="87"/>
      <c r="F187" s="87"/>
    </row>
    <row r="188" spans="1:7" ht="15" x14ac:dyDescent="0.25">
      <c r="C188" s="89">
        <f>C185*C186</f>
        <v>194.16</v>
      </c>
      <c r="D188" s="93" t="s">
        <v>11</v>
      </c>
      <c r="E188" s="94"/>
      <c r="F188" s="96" t="s">
        <v>103</v>
      </c>
    </row>
    <row r="190" spans="1:7" ht="15" x14ac:dyDescent="0.25">
      <c r="C190" s="85"/>
      <c r="D190" s="81"/>
      <c r="E190" s="79"/>
      <c r="F190" s="80"/>
    </row>
    <row r="191" spans="1:7" x14ac:dyDescent="0.2">
      <c r="C191" s="86"/>
    </row>
    <row r="192" spans="1:7" ht="15" x14ac:dyDescent="0.25">
      <c r="C192" s="85"/>
      <c r="D192" s="81"/>
      <c r="E192" s="79"/>
      <c r="F192" s="78"/>
    </row>
  </sheetData>
  <mergeCells count="11">
    <mergeCell ref="B110:B115"/>
    <mergeCell ref="B118:B129"/>
    <mergeCell ref="G56:I59"/>
    <mergeCell ref="G1:G4"/>
    <mergeCell ref="A3:A4"/>
    <mergeCell ref="B3:B4"/>
    <mergeCell ref="C3:C4"/>
    <mergeCell ref="D3:D4"/>
    <mergeCell ref="E3:E4"/>
    <mergeCell ref="F3:F4"/>
    <mergeCell ref="B1:F2"/>
  </mergeCells>
  <hyperlinks>
    <hyperlink ref="F41" r:id="rId1"/>
  </hyperlinks>
  <pageMargins left="0.75" right="0.75" top="1" bottom="1" header="0.5" footer="0.5"/>
  <pageSetup paperSize="17" scale="60" orientation="landscape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AUTOTABLE</vt:lpstr>
      <vt:lpstr>Quants</vt:lpstr>
      <vt:lpstr>VOID</vt:lpstr>
      <vt:lpstr>E9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Meet Shah</dc:creator>
  <cp:lastModifiedBy>Meet Shah</cp:lastModifiedBy>
  <cp:lastPrinted>2015-09-16T14:37:51Z</cp:lastPrinted>
  <dcterms:created xsi:type="dcterms:W3CDTF">2007-01-18T14:43:23Z</dcterms:created>
  <dcterms:modified xsi:type="dcterms:W3CDTF">2021-11-18T20:02:41Z</dcterms:modified>
</cp:coreProperties>
</file>